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5" activeTab="8"/>
  </bookViews>
  <sheets>
    <sheet name="Muži I. liga" sheetId="1" r:id="rId1"/>
    <sheet name="Ženy I. liga" sheetId="2" r:id="rId2"/>
    <sheet name="Ženy-B SKP" sheetId="3" r:id="rId3"/>
    <sheet name="Junioři" sheetId="4" r:id="rId4"/>
    <sheet name="Juniorky" sheetId="5" r:id="rId5"/>
    <sheet name="Dorostenci" sheetId="6" r:id="rId6"/>
    <sheet name="Dorostenky" sheetId="7" r:id="rId7"/>
    <sheet name="Starší žáci" sheetId="8" r:id="rId8"/>
    <sheet name="Starší žákyně" sheetId="9" r:id="rId9"/>
    <sheet name="Mladší žáci" sheetId="10" r:id="rId10"/>
    <sheet name="Mladší žákyně" sheetId="11" r:id="rId11"/>
  </sheets>
  <definedNames>
    <definedName name="bodne_bonus" localSheetId="2">'Ženy-B SKP'!$A$1</definedName>
    <definedName name="bodne_bonus">'Ženy I. liga'!$A$1</definedName>
    <definedName name="bodne_celkem" localSheetId="5">'Dorostenci'!#REF!</definedName>
    <definedName name="bodne_celkem" localSheetId="6">'Dorostenky'!#REF!</definedName>
    <definedName name="bodne_celkem" localSheetId="4">'Juniorky'!#REF!</definedName>
    <definedName name="bodne_celkem" localSheetId="3">'Junioři'!#REF!</definedName>
    <definedName name="bodne_celkem" localSheetId="9">'Mladší žáci'!#REF!</definedName>
    <definedName name="bodne_celkem" localSheetId="10">'Mladší žákyně'!#REF!</definedName>
    <definedName name="bodne_celkem" localSheetId="0">'Muži I. liga'!#REF!</definedName>
    <definedName name="bodne_celkem" localSheetId="7">'Starší žáci'!#REF!</definedName>
    <definedName name="bodne_celkem" localSheetId="8">'Starší žákyně'!#REF!</definedName>
    <definedName name="bodne_celkem">#REF!</definedName>
    <definedName name="bodne_muzi" localSheetId="5">'Dorostenci'!#REF!</definedName>
    <definedName name="bodne_muzi" localSheetId="6">'Dorostenky'!#REF!</definedName>
    <definedName name="bodne_muzi" localSheetId="4">'Juniorky'!#REF!</definedName>
    <definedName name="bodne_muzi" localSheetId="3">'Junioři'!#REF!</definedName>
    <definedName name="bodne_muzi" localSheetId="9">'Mladší žáci'!#REF!</definedName>
    <definedName name="bodne_muzi" localSheetId="10">'Mladší žákyně'!#REF!</definedName>
    <definedName name="bodne_muzi" localSheetId="0">'Muži I. liga'!#REF!</definedName>
    <definedName name="bodne_muzi" localSheetId="7">'Starší žáci'!#REF!</definedName>
    <definedName name="bodne_muzi" localSheetId="8">'Starší žákyně'!#REF!</definedName>
    <definedName name="bodne_muzi">#REF!</definedName>
    <definedName name="bodne_zeny" localSheetId="5">#REF!</definedName>
    <definedName name="bodne_zeny" localSheetId="6">#REF!</definedName>
    <definedName name="bodne_zeny" localSheetId="4">#REF!</definedName>
    <definedName name="bodne_zeny" localSheetId="3">#REF!</definedName>
    <definedName name="bodne_zeny" localSheetId="9">#REF!</definedName>
    <definedName name="bodne_zeny" localSheetId="10">#REF!</definedName>
    <definedName name="bodne_zeny" localSheetId="0">#REF!</definedName>
    <definedName name="bodne_zeny" localSheetId="7">#REF!</definedName>
    <definedName name="bodne_zeny" localSheetId="8">#REF!</definedName>
    <definedName name="bodne_zeny" localSheetId="2">'Ženy-B SKP'!#REF!</definedName>
    <definedName name="bodne_zeny">'Ženy I. liga'!#REF!</definedName>
    <definedName name="body_muzi_celkem" localSheetId="5">'Dorostenci'!$G$27</definedName>
    <definedName name="body_muzi_celkem" localSheetId="6">'Dorostenky'!$F$34</definedName>
    <definedName name="body_muzi_celkem" localSheetId="4">'Juniorky'!$F$25</definedName>
    <definedName name="body_muzi_celkem" localSheetId="3">'Junioři'!$F$14</definedName>
    <definedName name="body_muzi_celkem" localSheetId="9">'Mladší žáci'!$F$19</definedName>
    <definedName name="body_muzi_celkem" localSheetId="10">'Mladší žákyně'!$F$39</definedName>
    <definedName name="body_muzi_celkem" localSheetId="0">'Muži I. liga'!$F$32</definedName>
    <definedName name="body_muzi_celkem" localSheetId="7">'Starší žáci'!$G$22</definedName>
    <definedName name="body_muzi_celkem" localSheetId="8">'Starší žákyně'!$H$36</definedName>
    <definedName name="body_muzi_celkem">#REF!</definedName>
    <definedName name="body_zeny_celkem" localSheetId="5">#REF!</definedName>
    <definedName name="body_zeny_celkem" localSheetId="6">#REF!</definedName>
    <definedName name="body_zeny_celkem" localSheetId="4">#REF!</definedName>
    <definedName name="body_zeny_celkem" localSheetId="3">#REF!</definedName>
    <definedName name="body_zeny_celkem" localSheetId="9">#REF!</definedName>
    <definedName name="body_zeny_celkem" localSheetId="10">#REF!</definedName>
    <definedName name="body_zeny_celkem" localSheetId="0">#REF!</definedName>
    <definedName name="body_zeny_celkem" localSheetId="7">#REF!</definedName>
    <definedName name="body_zeny_celkem" localSheetId="8">#REF!</definedName>
    <definedName name="body_zeny_celkem" localSheetId="2">'Ženy-B SKP'!$F$17</definedName>
    <definedName name="body_zeny_celkem">'Ženy I. liga'!$F$32</definedName>
    <definedName name="bonus" localSheetId="5">'Dorostenci'!#REF!</definedName>
    <definedName name="bonus" localSheetId="6">'Dorostenky'!#REF!</definedName>
    <definedName name="bonus" localSheetId="4">'Juniorky'!#REF!</definedName>
    <definedName name="bonus" localSheetId="3">'Junioři'!#REF!</definedName>
    <definedName name="bonus" localSheetId="9">'Mladší žáci'!#REF!</definedName>
    <definedName name="bonus" localSheetId="10">'Mladší žákyně'!#REF!</definedName>
    <definedName name="bonus" localSheetId="0">'Muži I. liga'!#REF!</definedName>
    <definedName name="bonus" localSheetId="7">'Starší žáci'!#REF!</definedName>
    <definedName name="bonus" localSheetId="8">'Starší žákyně'!#REF!</definedName>
    <definedName name="bonus">#REF!</definedName>
    <definedName name="bonus_muzi" localSheetId="5">'Dorostenci'!#REF!</definedName>
    <definedName name="bonus_muzi" localSheetId="6">'Dorostenky'!#REF!</definedName>
    <definedName name="bonus_muzi" localSheetId="4">'Juniorky'!#REF!</definedName>
    <definedName name="bonus_muzi" localSheetId="3">'Junioři'!#REF!</definedName>
    <definedName name="bonus_muzi" localSheetId="9">'Mladší žáci'!#REF!</definedName>
    <definedName name="bonus_muzi" localSheetId="10">'Mladší žákyně'!#REF!</definedName>
    <definedName name="bonus_muzi" localSheetId="0">'Muži I. liga'!#REF!</definedName>
    <definedName name="bonus_muzi" localSheetId="7">'Starší žáci'!#REF!</definedName>
    <definedName name="bonus_muzi" localSheetId="8">'Starší žákyně'!#REF!</definedName>
    <definedName name="bonus_muzi">#REF!</definedName>
    <definedName name="bonus_zeny" localSheetId="5">#REF!</definedName>
    <definedName name="bonus_zeny" localSheetId="6">#REF!</definedName>
    <definedName name="bonus_zeny" localSheetId="4">#REF!</definedName>
    <definedName name="bonus_zeny" localSheetId="3">#REF!</definedName>
    <definedName name="bonus_zeny" localSheetId="9">#REF!</definedName>
    <definedName name="bonus_zeny" localSheetId="10">#REF!</definedName>
    <definedName name="bonus_zeny" localSheetId="0">#REF!</definedName>
    <definedName name="bonus_zeny" localSheetId="7">#REF!</definedName>
    <definedName name="bonus_zeny" localSheetId="8">#REF!</definedName>
    <definedName name="bonus_zeny" localSheetId="2">'Ženy-B SKP'!#REF!</definedName>
    <definedName name="bonus_zeny">'Ženy I. liga'!#REF!</definedName>
    <definedName name="bonusmuzi">#REF!</definedName>
    <definedName name="dorci">#REF!</definedName>
    <definedName name="kalorne_bonus">#REF!</definedName>
    <definedName name="kalorne_celkem">#REF!</definedName>
    <definedName name="kalorne_zeny" localSheetId="2">'Ženy-B SKP'!#REF!</definedName>
    <definedName name="kalorne_zeny">'Ženy I. liga'!#REF!</definedName>
    <definedName name="kc_muzi_soutez" localSheetId="5">'Dorostenci'!#REF!</definedName>
    <definedName name="kc_muzi_soutez" localSheetId="6">'Dorostenky'!#REF!</definedName>
    <definedName name="kc_muzi_soutez" localSheetId="4">'Juniorky'!#REF!</definedName>
    <definedName name="kc_muzi_soutez" localSheetId="3">'Junioři'!#REF!</definedName>
    <definedName name="kc_muzi_soutez" localSheetId="9">'Mladší žáci'!#REF!</definedName>
    <definedName name="kc_muzi_soutez" localSheetId="10">'Mladší žákyně'!#REF!</definedName>
    <definedName name="kc_muzi_soutez" localSheetId="0">'Muži I. liga'!#REF!</definedName>
    <definedName name="kc_muzi_soutez" localSheetId="7">'Starší žáci'!#REF!</definedName>
    <definedName name="kc_muzi_soutez" localSheetId="8">'Starší žákyně'!#REF!</definedName>
    <definedName name="kc_muzi_soutez">#REF!</definedName>
    <definedName name="kc_zeny_soutez" localSheetId="5">#REF!</definedName>
    <definedName name="kc_zeny_soutez" localSheetId="6">#REF!</definedName>
    <definedName name="kc_zeny_soutez" localSheetId="4">#REF!</definedName>
    <definedName name="kc_zeny_soutez" localSheetId="3">#REF!</definedName>
    <definedName name="kc_zeny_soutez" localSheetId="9">#REF!</definedName>
    <definedName name="kc_zeny_soutez" localSheetId="10">#REF!</definedName>
    <definedName name="kc_zeny_soutez" localSheetId="0">#REF!</definedName>
    <definedName name="kc_zeny_soutez" localSheetId="7">#REF!</definedName>
    <definedName name="kc_zeny_soutez" localSheetId="8">#REF!</definedName>
    <definedName name="kc_zeny_soutez" localSheetId="2">'Ženy-B SKP'!#REF!</definedName>
    <definedName name="kc_zeny_soutez">'Ženy I. liga'!#REF!</definedName>
    <definedName name="muzi" localSheetId="5">'Dorostenci'!#REF!</definedName>
    <definedName name="muzi" localSheetId="6">'Dorostenky'!#REF!</definedName>
    <definedName name="muzi" localSheetId="4">'Juniorky'!#REF!</definedName>
    <definedName name="muzi" localSheetId="3">'Junioři'!#REF!</definedName>
    <definedName name="muzi" localSheetId="9">'Mladší žáci'!#REF!</definedName>
    <definedName name="muzi" localSheetId="10">'Mladší žákyně'!#REF!</definedName>
    <definedName name="muzi" localSheetId="0">'Muži I. liga'!#REF!</definedName>
    <definedName name="muzi" localSheetId="7">'Starší žáci'!#REF!</definedName>
    <definedName name="muzi" localSheetId="8">'Starší žákyně'!#REF!</definedName>
    <definedName name="muzi">#REF!</definedName>
    <definedName name="_xlnm.Print_Titles" localSheetId="5">'Dorostenci'!$2:$2</definedName>
    <definedName name="_xlnm.Print_Titles" localSheetId="6">'Dorostenky'!$2:$2</definedName>
    <definedName name="_xlnm.Print_Titles" localSheetId="4">'Juniorky'!$2:$2</definedName>
    <definedName name="_xlnm.Print_Titles" localSheetId="3">'Junioři'!$2:$2</definedName>
    <definedName name="_xlnm.Print_Titles" localSheetId="9">'Mladší žáci'!$2:$2</definedName>
    <definedName name="_xlnm.Print_Titles" localSheetId="10">'Mladší žákyně'!$2:$2</definedName>
    <definedName name="_xlnm.Print_Titles" localSheetId="0">'Muži I. liga'!$2:$2</definedName>
    <definedName name="_xlnm.Print_Titles" localSheetId="7">'Starší žáci'!$2:$2</definedName>
    <definedName name="_xlnm.Print_Titles" localSheetId="8">'Starší žákyně'!$2:$2</definedName>
    <definedName name="stzaci">#REF!</definedName>
    <definedName name="zaokr_muzi" localSheetId="5">'Dorostenci'!#REF!</definedName>
    <definedName name="zaokr_muzi" localSheetId="6">'Dorostenky'!#REF!</definedName>
    <definedName name="zaokr_muzi" localSheetId="4">'Juniorky'!#REF!</definedName>
    <definedName name="zaokr_muzi" localSheetId="3">'Junioři'!#REF!</definedName>
    <definedName name="zaokr_muzi" localSheetId="9">'Mladší žáci'!#REF!</definedName>
    <definedName name="zaokr_muzi" localSheetId="10">'Mladší žákyně'!#REF!</definedName>
    <definedName name="zaokr_muzi" localSheetId="0">'Muži I. liga'!#REF!</definedName>
    <definedName name="zaokr_muzi" localSheetId="7">'Starší žáci'!#REF!</definedName>
    <definedName name="zaokr_muzi" localSheetId="8">'Starší žákyně'!#REF!</definedName>
    <definedName name="zaokr_muzi">#REF!</definedName>
    <definedName name="zaokr_zeny" localSheetId="5">#REF!</definedName>
    <definedName name="zaokr_zeny" localSheetId="6">#REF!</definedName>
    <definedName name="zaokr_zeny" localSheetId="4">#REF!</definedName>
    <definedName name="zaokr_zeny" localSheetId="3">#REF!</definedName>
    <definedName name="zaokr_zeny" localSheetId="9">#REF!</definedName>
    <definedName name="zaokr_zeny" localSheetId="10">#REF!</definedName>
    <definedName name="zaokr_zeny" localSheetId="0">#REF!</definedName>
    <definedName name="zaokr_zeny" localSheetId="7">#REF!</definedName>
    <definedName name="zaokr_zeny" localSheetId="8">#REF!</definedName>
    <definedName name="zaokr_zeny" localSheetId="2">'Ženy-B SKP'!#REF!</definedName>
    <definedName name="zaokr_zeny">'Ženy I. liga'!#REF!</definedName>
    <definedName name="zeny" localSheetId="5">#REF!</definedName>
    <definedName name="zeny" localSheetId="6">#REF!</definedName>
    <definedName name="zeny" localSheetId="4">#REF!</definedName>
    <definedName name="zeny" localSheetId="3">#REF!</definedName>
    <definedName name="zeny" localSheetId="9">#REF!</definedName>
    <definedName name="zeny" localSheetId="10">#REF!</definedName>
    <definedName name="zeny" localSheetId="0">#REF!</definedName>
    <definedName name="zeny" localSheetId="7">#REF!</definedName>
    <definedName name="zeny" localSheetId="8">#REF!</definedName>
    <definedName name="zeny" localSheetId="2">'Ženy-B SKP'!#REF!</definedName>
    <definedName name="zeny">'Ženy I. liga'!#REF!</definedName>
  </definedNames>
  <calcPr fullCalcOnLoad="1"/>
</workbook>
</file>

<file path=xl/sharedStrings.xml><?xml version="1.0" encoding="utf-8"?>
<sst xmlns="http://schemas.openxmlformats.org/spreadsheetml/2006/main" count="732" uniqueCount="301">
  <si>
    <t>Závodník</t>
  </si>
  <si>
    <t>1.kolo</t>
  </si>
  <si>
    <t>2.kolo</t>
  </si>
  <si>
    <t>3.kolo</t>
  </si>
  <si>
    <t>Celkem bodů</t>
  </si>
  <si>
    <t>Pořadí</t>
  </si>
  <si>
    <t>15.</t>
  </si>
  <si>
    <t xml:space="preserve"> </t>
  </si>
  <si>
    <t>3.</t>
  </si>
  <si>
    <t>11.</t>
  </si>
  <si>
    <t>4.</t>
  </si>
  <si>
    <t>10.</t>
  </si>
  <si>
    <t>9.</t>
  </si>
  <si>
    <t>5.</t>
  </si>
  <si>
    <t>1.</t>
  </si>
  <si>
    <t>2.</t>
  </si>
  <si>
    <t>Kontrolní součet</t>
  </si>
  <si>
    <t>.-</t>
  </si>
  <si>
    <t>.</t>
  </si>
  <si>
    <t>Závodnice</t>
  </si>
  <si>
    <t>7.</t>
  </si>
  <si>
    <t>6.</t>
  </si>
  <si>
    <t>M Čech</t>
  </si>
  <si>
    <t>Ve výsledcích</t>
  </si>
  <si>
    <t>Kloud Vojtěch, 2002</t>
  </si>
  <si>
    <t>Prouzová Monika, 2002</t>
  </si>
  <si>
    <t>Krejčí Jiří, 2003</t>
  </si>
  <si>
    <t>Krejčí Ondřej, 2003</t>
  </si>
  <si>
    <t>Bělohlávková Iveta, 2002</t>
  </si>
  <si>
    <t>Coufalová Johana, 2002</t>
  </si>
  <si>
    <t>Šarounová Markéta, 2004</t>
  </si>
  <si>
    <t>Hloucalová Aneta, 2004</t>
  </si>
  <si>
    <t>Malinová Barbora, 2004</t>
  </si>
  <si>
    <t>Chladová Eliška, 2003</t>
  </si>
  <si>
    <t>Kotík Jan, 2004</t>
  </si>
  <si>
    <t>Kuttichová Natálie, 2003</t>
  </si>
  <si>
    <t>Pražáková Daniela, 2005</t>
  </si>
  <si>
    <t>Plašil Petr, 1999</t>
  </si>
  <si>
    <t>Capoušek David, 1999</t>
  </si>
  <si>
    <t>Jeřábek Dalibor, 1998</t>
  </si>
  <si>
    <t>Blatník Filip, 2000</t>
  </si>
  <si>
    <t>Halíř Pavel, 2000</t>
  </si>
  <si>
    <t>Blažek Michal, 2001</t>
  </si>
  <si>
    <t>Hašková Barbora, 2000</t>
  </si>
  <si>
    <t>Jakubcová Barbora, 1989</t>
  </si>
  <si>
    <t>Bartůňková Markéta, 1993</t>
  </si>
  <si>
    <t>Bažantová Andrea, 1982</t>
  </si>
  <si>
    <t>Petržela Lukáš, 2005</t>
  </si>
  <si>
    <t>Mrha Lukáš, 2005</t>
  </si>
  <si>
    <t>Tejc Matouš, 2005</t>
  </si>
  <si>
    <t>Metelková Michaela, 2005</t>
  </si>
  <si>
    <t>Rychterová Lucie, 2005</t>
  </si>
  <si>
    <t>Blatníková Markéta, 2005</t>
  </si>
  <si>
    <t>Hořejší Daniela, 2005</t>
  </si>
  <si>
    <t>Bician Andrej, 1984</t>
  </si>
  <si>
    <t>Rykl Radoš, 1995</t>
  </si>
  <si>
    <t>Tulis Lukáš, 1994</t>
  </si>
  <si>
    <t>Cabal Jiří, 1987</t>
  </si>
  <si>
    <t>Najmanová Marcela, 2003</t>
  </si>
  <si>
    <t>Hudousková Barbora, 2005</t>
  </si>
  <si>
    <t>Strnadová Kateřina, 1984</t>
  </si>
  <si>
    <t>Kozelka Antonín, 1985</t>
  </si>
  <si>
    <t>Cejnar Zdeněk, 1982</t>
  </si>
  <si>
    <t>MČR</t>
  </si>
  <si>
    <t>Voženílková Daniela, 2004</t>
  </si>
  <si>
    <t>Fraňková Kateřina, 2004</t>
  </si>
  <si>
    <t>8.</t>
  </si>
  <si>
    <t>Bělík Jakub, 2002</t>
  </si>
  <si>
    <t>Svoboda Vojtěch, 2002</t>
  </si>
  <si>
    <t>Jansová Denisa, 2002</t>
  </si>
  <si>
    <t>Pražáková Martina, 2002</t>
  </si>
  <si>
    <t>Halíř Adam, 2005</t>
  </si>
  <si>
    <t>Zeman Michal, 2006</t>
  </si>
  <si>
    <t>Karel Jakub, 2006</t>
  </si>
  <si>
    <t>Šmídová Jana, 2006</t>
  </si>
  <si>
    <t>Kaplanová Tatiana, 2005</t>
  </si>
  <si>
    <t>Thiele Ema, 2006</t>
  </si>
  <si>
    <t>Novotná Nelly, 2006</t>
  </si>
  <si>
    <t>Hübner Kryštof, 1995</t>
  </si>
  <si>
    <t>Myšková Viktoria, 2004</t>
  </si>
  <si>
    <t>Vašáková Michaela, 2004</t>
  </si>
  <si>
    <t>Ducháčová Ema, 2006</t>
  </si>
  <si>
    <t>Součková Elena, 2006</t>
  </si>
  <si>
    <t>Javůrek Filip, 2006</t>
  </si>
  <si>
    <t>Gloser Tomáš, 2006</t>
  </si>
  <si>
    <t>Pšenka David, 2002</t>
  </si>
  <si>
    <t>Novák Dominik, 2005</t>
  </si>
  <si>
    <t>Pecina Adam, 2007</t>
  </si>
  <si>
    <t>Součková Jana, 2006</t>
  </si>
  <si>
    <t>Coufalová Hana, 2004</t>
  </si>
  <si>
    <t>Jakubská Beáta, 2004</t>
  </si>
  <si>
    <t>Součková Kristýna, 2006</t>
  </si>
  <si>
    <t>Polívková Bára, 2007</t>
  </si>
  <si>
    <t>Podlešáková Monika, 2007</t>
  </si>
  <si>
    <t>Pešková Adéla, 2007</t>
  </si>
  <si>
    <t>Coufalová Marie, 2007</t>
  </si>
  <si>
    <t>Čechová Martina, 2007</t>
  </si>
  <si>
    <t>Pospíšilová Aneta, 2007</t>
  </si>
  <si>
    <t>12.</t>
  </si>
  <si>
    <t>16.</t>
  </si>
  <si>
    <t>Říha Jakub, 2007</t>
  </si>
  <si>
    <t>Horák Filip, 2007</t>
  </si>
  <si>
    <t>Půlpánová Magdaléna, 2003</t>
  </si>
  <si>
    <t>Šedá Pavlína, 2002</t>
  </si>
  <si>
    <t>Voříšková Amélie, 2003</t>
  </si>
  <si>
    <t>Součková Terezie, 2003</t>
  </si>
  <si>
    <t>Filipová Bára, 2003</t>
  </si>
  <si>
    <t>Králíčková Tereza, 2003</t>
  </si>
  <si>
    <t>Bureš Jiří, 2003</t>
  </si>
  <si>
    <t>13.</t>
  </si>
  <si>
    <t>Hašková Barbora, 2001</t>
  </si>
  <si>
    <t>Karlík Jakub, 2001</t>
  </si>
  <si>
    <t>Boháč Bonifác, 2001</t>
  </si>
  <si>
    <t>14.</t>
  </si>
  <si>
    <t>Čerňanská Viktória, 2002</t>
  </si>
  <si>
    <t>Škochová Ema, 2003</t>
  </si>
  <si>
    <t>Rožánková Žofie, 2003</t>
  </si>
  <si>
    <t>Šmíd František, 1987</t>
  </si>
  <si>
    <t>Hübner Antonín, 1973</t>
  </si>
  <si>
    <t>Balcar Tomáš, 1979</t>
  </si>
  <si>
    <t>Regentová Emily, 2006 (B)</t>
  </si>
  <si>
    <t>A + B</t>
  </si>
  <si>
    <t>Ježek David, 2007</t>
  </si>
  <si>
    <t>Ježek Jakub, 2007</t>
  </si>
  <si>
    <t>Rejsek Matyáš, 2007</t>
  </si>
  <si>
    <t>Procházková Anna, 2005</t>
  </si>
  <si>
    <t>Pohlová Kučerová Štěpánka, 1987</t>
  </si>
  <si>
    <t>Havlíčková Anna, 2005</t>
  </si>
  <si>
    <t>Mikanová Ema, 2003</t>
  </si>
  <si>
    <t>Šubrtová Michaela, 2005</t>
  </si>
  <si>
    <t xml:space="preserve">Chudá Eliška, 2006 </t>
  </si>
  <si>
    <t>Mičánková Veronika, 2006</t>
  </si>
  <si>
    <t>Kolářová Etiennete, 2006</t>
  </si>
  <si>
    <t>Lukášková Julie, 2006  (B)</t>
  </si>
  <si>
    <t>Picková Anna, 2006 (B)</t>
  </si>
  <si>
    <t>Mulačová Amélie, 2006 (B)</t>
  </si>
  <si>
    <t>Soutěž družstev starších žákyň - ročník  2020</t>
  </si>
  <si>
    <t xml:space="preserve">Mikanová Ema, 2003 </t>
  </si>
  <si>
    <t>M ČR</t>
  </si>
  <si>
    <t>Študentová Dorota, 2003</t>
  </si>
  <si>
    <t>Kořínková Šárka, 2003</t>
  </si>
  <si>
    <t>Hrdá Vladimíra, 2003</t>
  </si>
  <si>
    <t>Filounová Iveta, 2003 H</t>
  </si>
  <si>
    <t>Půlpánová Magdaléna, 2003 H</t>
  </si>
  <si>
    <t>Škochová Ema, 2003 H</t>
  </si>
  <si>
    <t>Čížková Zita, 2004 H</t>
  </si>
  <si>
    <t>Havlátová Blanka, 2003 H</t>
  </si>
  <si>
    <t>Rožánková Žofie, 2003 H</t>
  </si>
  <si>
    <t>Mašková Kateřina, 2003 H</t>
  </si>
  <si>
    <t>Hájková Markéta, 2004</t>
  </si>
  <si>
    <t>juniorky</t>
  </si>
  <si>
    <t>Plašilová Eliška, 2003</t>
  </si>
  <si>
    <t>dorostenka</t>
  </si>
  <si>
    <t>Smutná Denisa, 2003</t>
  </si>
  <si>
    <t>Charvát Filip, 2002 H</t>
  </si>
  <si>
    <t>Vébr Dominik, 2003 H</t>
  </si>
  <si>
    <t>Soutěž družstev juniorů - ročník  2020 (SKP)</t>
  </si>
  <si>
    <t>Šantavý Jakub, 2004 H</t>
  </si>
  <si>
    <t>Müller Matyáš, 2004 H</t>
  </si>
  <si>
    <t>Červinka Jakub, 2003 H</t>
  </si>
  <si>
    <t>Hemerka Matěj, 2004</t>
  </si>
  <si>
    <t>Pácal Šimon, 2003 H</t>
  </si>
  <si>
    <t>Pácal Vojtěch, 2004 H</t>
  </si>
  <si>
    <t>Soutěž družstev dorostenců - ročník  2020</t>
  </si>
  <si>
    <t>Soutěž družstev starších žáků - ročník  2020</t>
  </si>
  <si>
    <t>Soutěž družstev mladších žáků - ročník  2020</t>
  </si>
  <si>
    <t>Soutěž družstev mladších žákyň - ročník  2020</t>
  </si>
  <si>
    <t xml:space="preserve">Bláhová Tereza, 2007 </t>
  </si>
  <si>
    <t xml:space="preserve">Blažková Markéta, 2007 </t>
  </si>
  <si>
    <t xml:space="preserve">Hladíková Amálie, 2007 </t>
  </si>
  <si>
    <t xml:space="preserve">Hronovská Tereza, 2007 </t>
  </si>
  <si>
    <t xml:space="preserve">Vokolková Viola, 2007 </t>
  </si>
  <si>
    <t xml:space="preserve">Cozlová Arleta Veronika, 2007 </t>
  </si>
  <si>
    <t xml:space="preserve">Hojgrová Veronika, 2007 </t>
  </si>
  <si>
    <t xml:space="preserve">Horáková Karolína, 2007 </t>
  </si>
  <si>
    <t xml:space="preserve">Perun Kristýna, 2008 </t>
  </si>
  <si>
    <t xml:space="preserve">Sládková Adéla, 2007 </t>
  </si>
  <si>
    <t>I.liga mužů skupina B - ročník  2020</t>
  </si>
  <si>
    <t>Sezóna 2020 - I.liga žen - TJ Sokol Hradec Králové</t>
  </si>
  <si>
    <t>Dittrichová Sofie, 2006</t>
  </si>
  <si>
    <r>
      <t>Havlíčková Anna, 2005</t>
    </r>
    <r>
      <rPr>
        <b/>
        <sz val="8"/>
        <rFont val="Calibri"/>
        <family val="2"/>
      </rPr>
      <t xml:space="preserve"> </t>
    </r>
  </si>
  <si>
    <r>
      <t>Černovská Adéla, 2005</t>
    </r>
    <r>
      <rPr>
        <b/>
        <sz val="8"/>
        <rFont val="Calibri"/>
        <family val="2"/>
      </rPr>
      <t xml:space="preserve"> </t>
    </r>
  </si>
  <si>
    <t>19.</t>
  </si>
  <si>
    <t>20.</t>
  </si>
  <si>
    <t>21.</t>
  </si>
  <si>
    <t>22.</t>
  </si>
  <si>
    <t>23.</t>
  </si>
  <si>
    <t>24.</t>
  </si>
  <si>
    <t>Jahodka Jan, 2005</t>
  </si>
  <si>
    <t>Pomezný Matěj, 2006</t>
  </si>
  <si>
    <t>Karban Zdeněk, 2006</t>
  </si>
  <si>
    <t>Vejsová Nella, 2008</t>
  </si>
  <si>
    <t>Lorencová Natalie, 2007</t>
  </si>
  <si>
    <t>Jelenová Justýna, 2005</t>
  </si>
  <si>
    <t>Krmašová Kateřina, 2008</t>
  </si>
  <si>
    <t>Vomáčková Mariana, 2008</t>
  </si>
  <si>
    <t>Novotná Vanda, 2007</t>
  </si>
  <si>
    <t>Pastuszková Klára, 2008</t>
  </si>
  <si>
    <t>Linková Amélie, 2008</t>
  </si>
  <si>
    <t>Černovská Barbora, 2008</t>
  </si>
  <si>
    <t>Svobodová Jasmína, 2008</t>
  </si>
  <si>
    <t>Rudolfová Anežka, 2007</t>
  </si>
  <si>
    <t>Filipová Kristýna, 2008</t>
  </si>
  <si>
    <t>Zeiplová Natálie, 2008</t>
  </si>
  <si>
    <t>Dvořáková Aneta, 2008</t>
  </si>
  <si>
    <t>Křoustková Nela, 2008</t>
  </si>
  <si>
    <t>Pilátová Martina, 2008</t>
  </si>
  <si>
    <t>Malinová Dominika, 2008</t>
  </si>
  <si>
    <t>Vycpálková Dorotka, 2007</t>
  </si>
  <si>
    <t>17.</t>
  </si>
  <si>
    <t>18.</t>
  </si>
  <si>
    <t>20.-21.</t>
  </si>
  <si>
    <t>Vlček Jan, 2007</t>
  </si>
  <si>
    <t>Koreček Martin, 2007</t>
  </si>
  <si>
    <t>Hájek Vojtěch, 2008</t>
  </si>
  <si>
    <t>Zadrobílek Jan, 2008</t>
  </si>
  <si>
    <t>Boukal Václav, 2008</t>
  </si>
  <si>
    <t>Walter Vojtěch, 2008</t>
  </si>
  <si>
    <t xml:space="preserve">Voříšková Amélie, 2002 </t>
  </si>
  <si>
    <t>Sezóna 2020 - SKP HK+PU žen - TJ Sokol Hradec Králové B</t>
  </si>
  <si>
    <t>Jelínková Klára, 2001</t>
  </si>
  <si>
    <t>Havlíčková Tereza, 2006</t>
  </si>
  <si>
    <t>Svobodová Barbora, 2004</t>
  </si>
  <si>
    <t>Šantavý Jakub, 2004</t>
  </si>
  <si>
    <t>Müller Matyáš, 2004</t>
  </si>
  <si>
    <t>Perrone Adriano, 2001</t>
  </si>
  <si>
    <t>Král Aleš, 1996</t>
  </si>
  <si>
    <r>
      <rPr>
        <b/>
        <i/>
        <sz val="10"/>
        <rFont val="Calibri"/>
        <family val="2"/>
      </rPr>
      <t>Půlpánová Magdaléna</t>
    </r>
    <r>
      <rPr>
        <b/>
        <sz val="10"/>
        <rFont val="Calibri"/>
        <family val="2"/>
      </rPr>
      <t>, 2003 H</t>
    </r>
  </si>
  <si>
    <t>Šímová Veronika, 2004</t>
  </si>
  <si>
    <t>25.</t>
  </si>
  <si>
    <t>26.-27.</t>
  </si>
  <si>
    <t>Štěpánek Martin, 1997</t>
  </si>
  <si>
    <t>Pácal Šimon, 2003</t>
  </si>
  <si>
    <t>Soutěž družstev dorostenek - ročník  2020</t>
  </si>
  <si>
    <t>Start v SKP</t>
  </si>
  <si>
    <t>Kopřivová Barbora, 1993</t>
  </si>
  <si>
    <t>Stav ke dni: 22.08.2020</t>
  </si>
  <si>
    <t>22.-23.</t>
  </si>
  <si>
    <t>28.</t>
  </si>
  <si>
    <t>29.</t>
  </si>
  <si>
    <t>Klvaňa Filip, 1977</t>
  </si>
  <si>
    <t>Vosáhlo Vít, 2000</t>
  </si>
  <si>
    <t>15.-16.</t>
  </si>
  <si>
    <t>26.</t>
  </si>
  <si>
    <t>27.</t>
  </si>
  <si>
    <t>16.-17.</t>
  </si>
  <si>
    <t>Daněk Jakub, 2003</t>
  </si>
  <si>
    <t>Klír Jan, 2004</t>
  </si>
  <si>
    <t>18.-19.</t>
  </si>
  <si>
    <t>žákyně</t>
  </si>
  <si>
    <t>Černovská Adéla, 2005</t>
  </si>
  <si>
    <t>14.-15.</t>
  </si>
  <si>
    <t>16.-18.</t>
  </si>
  <si>
    <t>Vacek Michal, 2004</t>
  </si>
  <si>
    <t>Hroch Petr, 2004</t>
  </si>
  <si>
    <t>Coufalová Marie, 2007 (B)</t>
  </si>
  <si>
    <t>Neuwirthová Saša, 2006 (B)</t>
  </si>
  <si>
    <t>Pávková Alběta, 2005 (B)</t>
  </si>
  <si>
    <t>Hronovská Tereza, 2007 (B)</t>
  </si>
  <si>
    <t>30.</t>
  </si>
  <si>
    <t>31.</t>
  </si>
  <si>
    <t>32.</t>
  </si>
  <si>
    <t>Stav ke dni: 12. 09. 2020</t>
  </si>
  <si>
    <t>11.-14.</t>
  </si>
  <si>
    <t>až 20.9.2020</t>
  </si>
  <si>
    <t>Kolářová Etiennete, 2006 (B)</t>
  </si>
  <si>
    <t>Lánská Natálie, 2008</t>
  </si>
  <si>
    <t>17.-18.</t>
  </si>
  <si>
    <t>26.-35.</t>
  </si>
  <si>
    <t>Schmidt Matěj, 2008</t>
  </si>
  <si>
    <t>Kulička Pavel, 2009</t>
  </si>
  <si>
    <t>Klapka Matyáš, 2008</t>
  </si>
  <si>
    <t>Stav ke dni: 20.09.2020</t>
  </si>
  <si>
    <t>již 13.9.2020</t>
  </si>
  <si>
    <t>Stav ke dni:  26.09.2020</t>
  </si>
  <si>
    <t>Stav ke dni: 26.09.2020</t>
  </si>
  <si>
    <t>Soutěž družstev juniorek - ročník  2020 (SSKP)</t>
  </si>
  <si>
    <t>dorostenka SKP</t>
  </si>
  <si>
    <t>žákyně SKP</t>
  </si>
  <si>
    <t>33.</t>
  </si>
  <si>
    <t>Arnošt Jiří, 2006</t>
  </si>
  <si>
    <t>Pašek Tomáš, 2006</t>
  </si>
  <si>
    <t>10.-11.</t>
  </si>
  <si>
    <t>Vebr Dominik, 2003 H</t>
  </si>
  <si>
    <t>Štefko Štěpán, 2004</t>
  </si>
  <si>
    <t>Král David, 2004</t>
  </si>
  <si>
    <t>Kořének Jan, 2004</t>
  </si>
  <si>
    <t>Vavrda Luboš, 2003</t>
  </si>
  <si>
    <t>24.-25.</t>
  </si>
  <si>
    <t>Stav ke dni:  27.09.2020</t>
  </si>
  <si>
    <t>Dusová Bára, 2008</t>
  </si>
  <si>
    <t>21.-22.</t>
  </si>
  <si>
    <t>25.-27.</t>
  </si>
  <si>
    <t xml:space="preserve">Stav ke dni: 27.09.2020 </t>
  </si>
  <si>
    <t>Stav ke dni:  03.10.2020</t>
  </si>
  <si>
    <t>Bürger Jan, 2003 H</t>
  </si>
  <si>
    <t>Vacek Michal, 2004 H</t>
  </si>
  <si>
    <t>19.-22.</t>
  </si>
  <si>
    <t>Stav ke dni: 04. 10. 2020</t>
  </si>
  <si>
    <t>27.-28.</t>
  </si>
  <si>
    <t>zr.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</si>
</sst>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"/>
    <numFmt numFmtId="168" formatCode="_-* #,##0&quot; Kč&quot;_-;\-* #,##0&quot; Kč&quot;_-;_-* &quot;- Kč&quot;_-;_-@_-"/>
    <numFmt numFmtId="169" formatCode="0.0000"/>
    <numFmt numFmtId="170" formatCode="[$-405]dddd\ d\.\ mmmm\ yyyy"/>
    <numFmt numFmtId="171" formatCode="#,##0.0"/>
    <numFmt numFmtId="172" formatCode="0.0%"/>
  </numFmts>
  <fonts count="66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10.5"/>
      <name val="Arial Narrow"/>
      <family val="2"/>
    </font>
    <font>
      <b/>
      <i/>
      <sz val="10.5"/>
      <name val="Arial Narrow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Narrow"/>
      <family val="2"/>
    </font>
    <font>
      <sz val="11"/>
      <name val="Calibri"/>
      <family val="2"/>
    </font>
    <font>
      <b/>
      <sz val="10.5"/>
      <color indexed="10"/>
      <name val="Arial Narrow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i/>
      <sz val="8"/>
      <name val="Calibri"/>
      <family val="2"/>
    </font>
    <font>
      <b/>
      <sz val="10.5"/>
      <name val="Calibri"/>
      <family val="2"/>
    </font>
    <font>
      <b/>
      <sz val="10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Narrow"/>
      <family val="2"/>
    </font>
    <font>
      <b/>
      <sz val="10.5"/>
      <color rgb="FFFF0000"/>
      <name val="Arial Narrow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.5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0" fontId="7" fillId="0" borderId="0" xfId="0" applyFont="1" applyAlignment="1">
      <alignment/>
    </xf>
    <xf numFmtId="166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2" fontId="6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" fontId="6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62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6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right"/>
    </xf>
    <xf numFmtId="2" fontId="62" fillId="0" borderId="0" xfId="0" applyNumberFormat="1" applyFont="1" applyAlignment="1">
      <alignment horizontal="right"/>
    </xf>
    <xf numFmtId="4" fontId="6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62" fillId="0" borderId="0" xfId="0" applyNumberFormat="1" applyFont="1" applyAlignment="1">
      <alignment/>
    </xf>
    <xf numFmtId="0" fontId="6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5" fillId="0" borderId="0" xfId="0" applyFont="1" applyAlignment="1">
      <alignment/>
    </xf>
    <xf numFmtId="2" fontId="11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166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/>
    </xf>
    <xf numFmtId="2" fontId="38" fillId="0" borderId="0" xfId="0" applyNumberFormat="1" applyFont="1" applyAlignment="1">
      <alignment/>
    </xf>
    <xf numFmtId="2" fontId="63" fillId="0" borderId="0" xfId="0" applyNumberFormat="1" applyFont="1" applyAlignment="1">
      <alignment/>
    </xf>
    <xf numFmtId="167" fontId="6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4" fontId="64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2" fontId="64" fillId="0" borderId="0" xfId="0" applyNumberFormat="1" applyFont="1" applyAlignment="1">
      <alignment/>
    </xf>
    <xf numFmtId="49" fontId="6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1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0" fontId="64" fillId="33" borderId="0" xfId="0" applyFont="1" applyFill="1" applyAlignment="1">
      <alignment horizontal="center" vertical="center"/>
    </xf>
    <xf numFmtId="4" fontId="34" fillId="33" borderId="0" xfId="0" applyNumberFormat="1" applyFont="1" applyFill="1" applyAlignment="1">
      <alignment/>
    </xf>
    <xf numFmtId="4" fontId="64" fillId="33" borderId="0" xfId="0" applyNumberFormat="1" applyFont="1" applyFill="1" applyAlignment="1">
      <alignment/>
    </xf>
    <xf numFmtId="167" fontId="11" fillId="33" borderId="0" xfId="0" applyNumberFormat="1" applyFont="1" applyFill="1" applyAlignment="1">
      <alignment/>
    </xf>
    <xf numFmtId="2" fontId="34" fillId="33" borderId="0" xfId="0" applyNumberFormat="1" applyFont="1" applyFill="1" applyAlignment="1">
      <alignment/>
    </xf>
    <xf numFmtId="4" fontId="11" fillId="33" borderId="0" xfId="0" applyNumberFormat="1" applyFont="1" applyFill="1" applyAlignment="1">
      <alignment/>
    </xf>
    <xf numFmtId="2" fontId="64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2" fontId="65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4" fontId="0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67" fontId="62" fillId="0" borderId="0" xfId="0" applyNumberFormat="1" applyFont="1" applyAlignment="1">
      <alignment horizontal="center"/>
    </xf>
    <xf numFmtId="4" fontId="62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vertical="center"/>
    </xf>
    <xf numFmtId="4" fontId="0" fillId="33" borderId="0" xfId="0" applyNumberFormat="1" applyFont="1" applyFill="1" applyAlignment="1">
      <alignment horizontal="right"/>
    </xf>
    <xf numFmtId="4" fontId="62" fillId="33" borderId="0" xfId="0" applyNumberFormat="1" applyFont="1" applyFill="1" applyAlignment="1">
      <alignment horizontal="right"/>
    </xf>
    <xf numFmtId="4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Alignment="1">
      <alignment vertical="center"/>
    </xf>
    <xf numFmtId="0" fontId="3" fillId="0" borderId="0" xfId="0" applyFont="1" applyAlignment="1">
      <alignment horizontal="left"/>
    </xf>
    <xf numFmtId="49" fontId="62" fillId="0" borderId="0" xfId="0" applyNumberFormat="1" applyFont="1" applyAlignment="1">
      <alignment horizontal="center"/>
    </xf>
    <xf numFmtId="4" fontId="61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 horizontal="right"/>
    </xf>
    <xf numFmtId="2" fontId="11" fillId="33" borderId="0" xfId="0" applyNumberFormat="1" applyFont="1" applyFill="1" applyAlignment="1">
      <alignment horizontal="right" vertical="center"/>
    </xf>
    <xf numFmtId="2" fontId="64" fillId="33" borderId="0" xfId="0" applyNumberFormat="1" applyFont="1" applyFill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G23" sqref="G23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6" width="9.33203125" style="1" customWidth="1"/>
    <col min="7" max="7" width="10" style="2" customWidth="1"/>
    <col min="8" max="16384" width="9.33203125" style="1" customWidth="1"/>
  </cols>
  <sheetData>
    <row r="1" ht="12.75">
      <c r="A1" s="3" t="s">
        <v>177</v>
      </c>
    </row>
    <row r="2" spans="1:7" ht="24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</row>
    <row r="3" spans="1:7" ht="12.75">
      <c r="A3" s="3"/>
      <c r="B3" s="3" t="s">
        <v>119</v>
      </c>
      <c r="C3" s="6"/>
      <c r="D3" s="7">
        <f>1+1.25</f>
        <v>2.25</v>
      </c>
      <c r="E3" s="6">
        <v>0</v>
      </c>
      <c r="F3" s="8">
        <f aca="true" t="shared" si="0" ref="F3:F32">SUM(C3:E3)</f>
        <v>2.25</v>
      </c>
      <c r="G3" s="43" t="s">
        <v>243</v>
      </c>
    </row>
    <row r="4" spans="2:7" ht="12.75">
      <c r="B4" s="3" t="s">
        <v>67</v>
      </c>
      <c r="C4" s="10">
        <f>17+1</f>
        <v>18</v>
      </c>
      <c r="D4" s="11">
        <f>17+0.5</f>
        <v>17.5</v>
      </c>
      <c r="E4" s="10">
        <v>16</v>
      </c>
      <c r="F4" s="8">
        <f t="shared" si="0"/>
        <v>51.5</v>
      </c>
      <c r="G4" s="44" t="s">
        <v>15</v>
      </c>
    </row>
    <row r="5" spans="2:7" ht="12.75">
      <c r="B5" s="9" t="s">
        <v>54</v>
      </c>
      <c r="C5" s="6"/>
      <c r="D5" s="7">
        <f>10+1.5</f>
        <v>11.5</v>
      </c>
      <c r="E5" s="6"/>
      <c r="F5" s="8">
        <f t="shared" si="0"/>
        <v>11.5</v>
      </c>
      <c r="G5" s="43" t="s">
        <v>242</v>
      </c>
    </row>
    <row r="6" spans="1:7" ht="12.75">
      <c r="A6" s="3"/>
      <c r="B6" s="3" t="s">
        <v>40</v>
      </c>
      <c r="C6" s="6">
        <v>5</v>
      </c>
      <c r="D6" s="7">
        <f>8+1.5+2.25</f>
        <v>11.75</v>
      </c>
      <c r="E6" s="6">
        <f>8+1.75+1.5</f>
        <v>11.25</v>
      </c>
      <c r="F6" s="8">
        <f t="shared" si="0"/>
        <v>28</v>
      </c>
      <c r="G6" s="43" t="s">
        <v>21</v>
      </c>
    </row>
    <row r="7" spans="1:7" ht="12.75">
      <c r="A7" s="3"/>
      <c r="B7" s="3" t="s">
        <v>42</v>
      </c>
      <c r="C7" s="6"/>
      <c r="D7" s="7"/>
      <c r="E7" s="6">
        <f>4+1.75+1.5</f>
        <v>7.25</v>
      </c>
      <c r="F7" s="8">
        <f t="shared" si="0"/>
        <v>7.25</v>
      </c>
      <c r="G7" s="43" t="s">
        <v>182</v>
      </c>
    </row>
    <row r="8" spans="2:7" ht="12.75">
      <c r="B8" s="3" t="s">
        <v>57</v>
      </c>
      <c r="C8" s="6"/>
      <c r="D8" s="7"/>
      <c r="E8" s="6">
        <v>2</v>
      </c>
      <c r="F8" s="8">
        <f t="shared" si="0"/>
        <v>2</v>
      </c>
      <c r="G8" s="43" t="s">
        <v>244</v>
      </c>
    </row>
    <row r="9" spans="1:7" ht="12.75">
      <c r="A9" s="3"/>
      <c r="B9" s="3" t="s">
        <v>38</v>
      </c>
      <c r="C9" s="6">
        <v>4</v>
      </c>
      <c r="D9" s="7"/>
      <c r="E9" s="6">
        <f>3+0.25+1.25</f>
        <v>4.5</v>
      </c>
      <c r="F9" s="8">
        <f t="shared" si="0"/>
        <v>8.5</v>
      </c>
      <c r="G9" s="43" t="s">
        <v>209</v>
      </c>
    </row>
    <row r="10" spans="2:7" ht="12.75">
      <c r="B10" s="3" t="s">
        <v>62</v>
      </c>
      <c r="C10" s="6"/>
      <c r="D10" s="7">
        <v>6</v>
      </c>
      <c r="E10" s="6"/>
      <c r="F10" s="8">
        <f t="shared" si="0"/>
        <v>6</v>
      </c>
      <c r="G10" s="43" t="s">
        <v>211</v>
      </c>
    </row>
    <row r="11" spans="1:7" ht="12.75">
      <c r="A11" s="3"/>
      <c r="B11" s="3" t="s">
        <v>41</v>
      </c>
      <c r="C11" s="6"/>
      <c r="D11" s="7">
        <f>4+0.5</f>
        <v>4.5</v>
      </c>
      <c r="E11" s="6"/>
      <c r="F11" s="8">
        <f t="shared" si="0"/>
        <v>4.5</v>
      </c>
      <c r="G11" s="43" t="s">
        <v>185</v>
      </c>
    </row>
    <row r="12" spans="1:7" ht="12.75">
      <c r="A12" s="3"/>
      <c r="B12" s="3" t="s">
        <v>118</v>
      </c>
      <c r="C12" s="6">
        <v>5</v>
      </c>
      <c r="D12" s="7">
        <v>2</v>
      </c>
      <c r="E12" s="6">
        <v>1</v>
      </c>
      <c r="F12" s="8">
        <f t="shared" si="0"/>
        <v>8</v>
      </c>
      <c r="G12" s="43" t="s">
        <v>210</v>
      </c>
    </row>
    <row r="13" spans="1:7" ht="12.75">
      <c r="A13" s="3"/>
      <c r="B13" s="3" t="s">
        <v>78</v>
      </c>
      <c r="C13" s="6">
        <v>7</v>
      </c>
      <c r="D13" s="7">
        <v>8</v>
      </c>
      <c r="E13" s="6">
        <v>2</v>
      </c>
      <c r="F13" s="8">
        <f t="shared" si="0"/>
        <v>17</v>
      </c>
      <c r="G13" s="43" t="s">
        <v>109</v>
      </c>
    </row>
    <row r="14" spans="2:7" ht="12.75">
      <c r="B14" s="3" t="s">
        <v>39</v>
      </c>
      <c r="C14" s="6">
        <f>4+1</f>
        <v>5</v>
      </c>
      <c r="D14" s="7">
        <v>4</v>
      </c>
      <c r="E14" s="6">
        <f>8+1</f>
        <v>9</v>
      </c>
      <c r="F14" s="8">
        <f t="shared" si="0"/>
        <v>18</v>
      </c>
      <c r="G14" s="43" t="s">
        <v>9</v>
      </c>
    </row>
    <row r="15" spans="2:7" ht="12.75">
      <c r="B15" s="3" t="s">
        <v>111</v>
      </c>
      <c r="C15" s="6" t="s">
        <v>7</v>
      </c>
      <c r="D15" s="7">
        <v>1</v>
      </c>
      <c r="E15" s="6">
        <v>2</v>
      </c>
      <c r="F15" s="8">
        <f t="shared" si="0"/>
        <v>3</v>
      </c>
      <c r="G15" s="43" t="s">
        <v>229</v>
      </c>
    </row>
    <row r="16" spans="2:7" ht="12.75">
      <c r="B16" s="3" t="s">
        <v>24</v>
      </c>
      <c r="C16" s="6">
        <f>10+1</f>
        <v>11</v>
      </c>
      <c r="D16" s="7"/>
      <c r="E16" s="10">
        <f>13.5+1.75</f>
        <v>15.25</v>
      </c>
      <c r="F16" s="8">
        <f t="shared" si="0"/>
        <v>26.25</v>
      </c>
      <c r="G16" s="43" t="s">
        <v>66</v>
      </c>
    </row>
    <row r="17" spans="2:7" ht="12.75">
      <c r="B17" s="9" t="s">
        <v>240</v>
      </c>
      <c r="C17" s="6" t="s">
        <v>7</v>
      </c>
      <c r="D17" s="7"/>
      <c r="E17" s="6">
        <v>4</v>
      </c>
      <c r="F17" s="8">
        <f t="shared" si="0"/>
        <v>4</v>
      </c>
      <c r="G17" s="43" t="s">
        <v>186</v>
      </c>
    </row>
    <row r="18" spans="2:7" ht="12.75">
      <c r="B18" s="3" t="s">
        <v>61</v>
      </c>
      <c r="C18" s="6">
        <v>3</v>
      </c>
      <c r="D18" s="7">
        <v>5</v>
      </c>
      <c r="E18" s="6">
        <v>5</v>
      </c>
      <c r="F18" s="8">
        <f t="shared" si="0"/>
        <v>13</v>
      </c>
      <c r="G18" s="43" t="s">
        <v>113</v>
      </c>
    </row>
    <row r="19" spans="2:7" ht="12.75">
      <c r="B19" s="3" t="s">
        <v>226</v>
      </c>
      <c r="C19" s="6">
        <v>3</v>
      </c>
      <c r="D19" s="7">
        <v>3</v>
      </c>
      <c r="E19" s="6"/>
      <c r="F19" s="8">
        <f t="shared" si="0"/>
        <v>6</v>
      </c>
      <c r="G19" s="43" t="s">
        <v>211</v>
      </c>
    </row>
    <row r="20" spans="2:7" ht="12.75">
      <c r="B20" s="9" t="s">
        <v>224</v>
      </c>
      <c r="C20" s="6">
        <f>6+2</f>
        <v>8</v>
      </c>
      <c r="D20" s="7">
        <f>3+1.25+2.25</f>
        <v>6.5</v>
      </c>
      <c r="E20" s="6">
        <f>5+0.25+1.25</f>
        <v>6.5</v>
      </c>
      <c r="F20" s="8">
        <f t="shared" si="0"/>
        <v>21</v>
      </c>
      <c r="G20" s="43" t="s">
        <v>11</v>
      </c>
    </row>
    <row r="21" spans="2:7" ht="12.75">
      <c r="B21" s="9" t="s">
        <v>232</v>
      </c>
      <c r="C21" s="6" t="s">
        <v>7</v>
      </c>
      <c r="D21" s="7">
        <v>0.5</v>
      </c>
      <c r="E21" s="6"/>
      <c r="F21" s="8">
        <f t="shared" si="0"/>
        <v>0.5</v>
      </c>
      <c r="G21" s="43" t="s">
        <v>239</v>
      </c>
    </row>
    <row r="22" spans="2:7" ht="12.75">
      <c r="B22" s="9" t="s">
        <v>225</v>
      </c>
      <c r="C22" s="6">
        <f>4+2</f>
        <v>6</v>
      </c>
      <c r="D22" s="7"/>
      <c r="E22" s="6">
        <f>3+1+1.5</f>
        <v>5.5</v>
      </c>
      <c r="F22" s="8">
        <f t="shared" si="0"/>
        <v>11.5</v>
      </c>
      <c r="G22" s="43" t="s">
        <v>242</v>
      </c>
    </row>
    <row r="23" spans="1:7" ht="12.75">
      <c r="A23" s="3"/>
      <c r="B23" s="3" t="s">
        <v>37</v>
      </c>
      <c r="C23" s="6">
        <v>13</v>
      </c>
      <c r="D23" s="7">
        <v>15</v>
      </c>
      <c r="E23" s="6">
        <v>12</v>
      </c>
      <c r="F23" s="8">
        <f t="shared" si="0"/>
        <v>40</v>
      </c>
      <c r="G23" s="44" t="s">
        <v>8</v>
      </c>
    </row>
    <row r="24" spans="1:7" ht="12.75">
      <c r="A24" s="3"/>
      <c r="B24" s="3" t="s">
        <v>85</v>
      </c>
      <c r="C24" s="6">
        <f>7+1</f>
        <v>8</v>
      </c>
      <c r="D24" s="7">
        <f>6+0.5</f>
        <v>6.5</v>
      </c>
      <c r="E24" s="6">
        <f>1+1.75</f>
        <v>2.75</v>
      </c>
      <c r="F24" s="8">
        <f t="shared" si="0"/>
        <v>17.25</v>
      </c>
      <c r="G24" s="43" t="s">
        <v>98</v>
      </c>
    </row>
    <row r="25" spans="2:7" ht="12.75">
      <c r="B25" s="3" t="s">
        <v>55</v>
      </c>
      <c r="C25" s="41">
        <f>31+2</f>
        <v>33</v>
      </c>
      <c r="D25" s="34">
        <f>26+1.5</f>
        <v>27.5</v>
      </c>
      <c r="E25" s="41">
        <f>24+1</f>
        <v>25</v>
      </c>
      <c r="F25" s="109">
        <f t="shared" si="0"/>
        <v>85.5</v>
      </c>
      <c r="G25" s="45" t="s">
        <v>14</v>
      </c>
    </row>
    <row r="26" spans="1:7" ht="12.75">
      <c r="A26" s="3"/>
      <c r="B26" s="3" t="s">
        <v>68</v>
      </c>
      <c r="C26" s="6"/>
      <c r="D26" s="7">
        <f>1.25+2.25</f>
        <v>3.5</v>
      </c>
      <c r="E26" s="6"/>
      <c r="F26" s="8">
        <f t="shared" si="0"/>
        <v>3.5</v>
      </c>
      <c r="G26" s="43" t="s">
        <v>187</v>
      </c>
    </row>
    <row r="27" spans="2:7" ht="12.75">
      <c r="B27" s="9" t="s">
        <v>223</v>
      </c>
      <c r="C27" s="6">
        <f>8+2</f>
        <v>10</v>
      </c>
      <c r="D27" s="11">
        <f>20+1.25</f>
        <v>21.25</v>
      </c>
      <c r="E27" s="6">
        <f>0.25+1.25</f>
        <v>1.5</v>
      </c>
      <c r="F27" s="8">
        <f t="shared" si="0"/>
        <v>32.75</v>
      </c>
      <c r="G27" s="43" t="s">
        <v>10</v>
      </c>
    </row>
    <row r="28" spans="2:7" ht="12.75">
      <c r="B28" s="3" t="s">
        <v>117</v>
      </c>
      <c r="C28" s="6">
        <v>9</v>
      </c>
      <c r="D28" s="7">
        <v>9</v>
      </c>
      <c r="E28" s="6">
        <v>9</v>
      </c>
      <c r="F28" s="8">
        <f t="shared" si="0"/>
        <v>27</v>
      </c>
      <c r="G28" s="43" t="s">
        <v>20</v>
      </c>
    </row>
    <row r="29" spans="2:7" ht="12.75">
      <c r="B29" s="3" t="s">
        <v>231</v>
      </c>
      <c r="C29" s="6" t="s">
        <v>7</v>
      </c>
      <c r="D29" s="7">
        <f>8+1.5+2.25</f>
        <v>11.75</v>
      </c>
      <c r="E29" s="6">
        <f>9+1+1.5</f>
        <v>11.5</v>
      </c>
      <c r="F29" s="8">
        <f t="shared" si="0"/>
        <v>23.25</v>
      </c>
      <c r="G29" s="43" t="s">
        <v>12</v>
      </c>
    </row>
    <row r="30" spans="2:7" ht="12.75">
      <c r="B30" s="3" t="s">
        <v>56</v>
      </c>
      <c r="C30" s="10">
        <v>17</v>
      </c>
      <c r="D30" s="11"/>
      <c r="E30" s="6">
        <v>13</v>
      </c>
      <c r="F30" s="8">
        <f t="shared" si="0"/>
        <v>30</v>
      </c>
      <c r="G30" s="43" t="s">
        <v>13</v>
      </c>
    </row>
    <row r="31" spans="2:7" ht="12.75">
      <c r="B31" s="9" t="s">
        <v>241</v>
      </c>
      <c r="C31" s="10" t="s">
        <v>7</v>
      </c>
      <c r="D31" s="11"/>
      <c r="E31" s="6">
        <f>0.25+1.25</f>
        <v>1.5</v>
      </c>
      <c r="F31" s="8">
        <f t="shared" si="0"/>
        <v>1.5</v>
      </c>
      <c r="G31" s="43" t="s">
        <v>238</v>
      </c>
    </row>
    <row r="32" spans="2:6" ht="10.5" customHeight="1">
      <c r="B32" s="14" t="s">
        <v>16</v>
      </c>
      <c r="C32" s="15">
        <f>SUM(C3:C31)</f>
        <v>165</v>
      </c>
      <c r="D32" s="15">
        <f>SUM(D3:D31)</f>
        <v>178</v>
      </c>
      <c r="E32" s="15">
        <f>SUM(E3:E31)</f>
        <v>167.5</v>
      </c>
      <c r="F32" s="8">
        <f t="shared" si="0"/>
        <v>510.5</v>
      </c>
    </row>
    <row r="33" spans="2:6" ht="10.5" customHeight="1">
      <c r="B33" s="14"/>
      <c r="C33" s="15"/>
      <c r="D33" s="15"/>
      <c r="E33" s="15"/>
      <c r="F33" s="17"/>
    </row>
    <row r="34" spans="2:6" ht="10.5" customHeight="1">
      <c r="B34" s="19"/>
      <c r="C34" s="20"/>
      <c r="D34" s="16"/>
      <c r="E34" s="16"/>
      <c r="F34" s="16"/>
    </row>
    <row r="35" spans="1:2" ht="12" customHeight="1">
      <c r="A35" s="1" t="s">
        <v>236</v>
      </c>
      <c r="B35" s="21"/>
    </row>
    <row r="36" ht="12.75" hidden="1"/>
    <row r="38" spans="2:7" s="14" customFormat="1" ht="13.5">
      <c r="B38" s="22"/>
      <c r="G38" s="18"/>
    </row>
    <row r="39" ht="13.5">
      <c r="B39" s="23"/>
    </row>
    <row r="40" ht="13.5">
      <c r="B40" s="23"/>
    </row>
    <row r="41" ht="13.5">
      <c r="B41" s="23"/>
    </row>
    <row r="42" spans="2:7" ht="13.5">
      <c r="B42" s="23"/>
      <c r="G42" s="2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Narrow,Tučné"Muži</oddHeader>
    <oddFooter>&amp;LHradec Králové, &amp;D (tisk)&amp;CList &amp;F (&amp;A)&amp;RSestavil ing. Pavel Rytíř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" sqref="A3:IV17"/>
    </sheetView>
  </sheetViews>
  <sheetFormatPr defaultColWidth="9.33203125" defaultRowHeight="12.75"/>
  <cols>
    <col min="1" max="1" width="14.16015625" style="0" customWidth="1"/>
    <col min="2" max="2" width="27.83203125" style="0" customWidth="1"/>
    <col min="4" max="5" width="9.33203125" style="1" customWidth="1"/>
    <col min="7" max="7" width="10" style="32" customWidth="1"/>
  </cols>
  <sheetData>
    <row r="1" spans="1:7" s="1" customFormat="1" ht="12.75">
      <c r="A1" s="3" t="s">
        <v>165</v>
      </c>
      <c r="G1" s="2"/>
    </row>
    <row r="2" spans="1:7" ht="25.5">
      <c r="A2" s="4"/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5</v>
      </c>
    </row>
    <row r="3" spans="2:7" s="1" customFormat="1" ht="12.75">
      <c r="B3" s="3" t="s">
        <v>216</v>
      </c>
      <c r="C3" s="7">
        <v>2</v>
      </c>
      <c r="D3" s="7">
        <v>0.5</v>
      </c>
      <c r="E3" s="6"/>
      <c r="F3" s="11">
        <f aca="true" t="shared" si="0" ref="F3:F17">SUM(C3:E3)</f>
        <v>2.5</v>
      </c>
      <c r="G3" s="2" t="s">
        <v>109</v>
      </c>
    </row>
    <row r="4" spans="2:7" s="1" customFormat="1" ht="12.75">
      <c r="B4" s="3" t="s">
        <v>214</v>
      </c>
      <c r="C4" s="7">
        <v>8</v>
      </c>
      <c r="D4" s="7"/>
      <c r="E4" s="6"/>
      <c r="F4" s="11">
        <f t="shared" si="0"/>
        <v>8</v>
      </c>
      <c r="G4" s="2" t="s">
        <v>12</v>
      </c>
    </row>
    <row r="5" spans="2:7" s="1" customFormat="1" ht="12.75">
      <c r="B5" s="3" t="s">
        <v>101</v>
      </c>
      <c r="C5" s="7">
        <f>4+1.75</f>
        <v>5.75</v>
      </c>
      <c r="D5" s="7">
        <f>5+2.75</f>
        <v>7.75</v>
      </c>
      <c r="E5" s="6">
        <v>13</v>
      </c>
      <c r="F5" s="11">
        <f t="shared" si="0"/>
        <v>26.5</v>
      </c>
      <c r="G5" s="2" t="s">
        <v>20</v>
      </c>
    </row>
    <row r="6" spans="2:7" s="1" customFormat="1" ht="12.75">
      <c r="B6" s="3" t="s">
        <v>122</v>
      </c>
      <c r="C6" s="7">
        <f>18+2.75</f>
        <v>20.75</v>
      </c>
      <c r="D6" s="34">
        <f>22+2.75</f>
        <v>24.75</v>
      </c>
      <c r="E6" s="41">
        <f>20+2.75</f>
        <v>22.75</v>
      </c>
      <c r="F6" s="11">
        <f t="shared" si="0"/>
        <v>68.25</v>
      </c>
      <c r="G6" s="12" t="s">
        <v>15</v>
      </c>
    </row>
    <row r="7" spans="2:7" s="1" customFormat="1" ht="12.75">
      <c r="B7" s="3" t="s">
        <v>123</v>
      </c>
      <c r="C7" s="34">
        <f>22+2.75</f>
        <v>24.75</v>
      </c>
      <c r="D7" s="11">
        <f>20+2.75</f>
        <v>22.75</v>
      </c>
      <c r="E7" s="41">
        <f>20+2.75</f>
        <v>22.75</v>
      </c>
      <c r="F7" s="34">
        <f t="shared" si="0"/>
        <v>70.25</v>
      </c>
      <c r="G7" s="33" t="s">
        <v>14</v>
      </c>
    </row>
    <row r="8" spans="2:7" s="1" customFormat="1" ht="12.75">
      <c r="B8" s="3" t="s">
        <v>271</v>
      </c>
      <c r="C8" s="7"/>
      <c r="D8" s="7">
        <v>0.5</v>
      </c>
      <c r="E8" s="6"/>
      <c r="F8" s="11">
        <f t="shared" si="0"/>
        <v>0.5</v>
      </c>
      <c r="G8" s="2" t="s">
        <v>6</v>
      </c>
    </row>
    <row r="9" spans="2:7" s="1" customFormat="1" ht="12.75">
      <c r="B9" s="3" t="s">
        <v>213</v>
      </c>
      <c r="C9" s="7">
        <f>11+1.75</f>
        <v>12.75</v>
      </c>
      <c r="D9" s="11">
        <f>14+2.75</f>
        <v>16.75</v>
      </c>
      <c r="E9" s="6">
        <f>17+2.75</f>
        <v>19.75</v>
      </c>
      <c r="F9" s="11">
        <f t="shared" si="0"/>
        <v>49.25</v>
      </c>
      <c r="G9" s="12" t="s">
        <v>8</v>
      </c>
    </row>
    <row r="10" spans="2:7" s="1" customFormat="1" ht="12.75">
      <c r="B10" s="3" t="s">
        <v>270</v>
      </c>
      <c r="C10" s="7"/>
      <c r="D10" s="7">
        <v>3</v>
      </c>
      <c r="E10" s="6"/>
      <c r="F10" s="11">
        <f t="shared" si="0"/>
        <v>3</v>
      </c>
      <c r="G10" s="2" t="s">
        <v>98</v>
      </c>
    </row>
    <row r="11" spans="2:7" s="1" customFormat="1" ht="12.75">
      <c r="B11" s="3" t="s">
        <v>87</v>
      </c>
      <c r="C11" s="11">
        <f>20+2.75</f>
        <v>22.75</v>
      </c>
      <c r="D11" s="7">
        <v>11</v>
      </c>
      <c r="E11" s="6"/>
      <c r="F11" s="11">
        <f t="shared" si="0"/>
        <v>33.75</v>
      </c>
      <c r="G11" s="2" t="s">
        <v>13</v>
      </c>
    </row>
    <row r="12" spans="2:7" s="1" customFormat="1" ht="12.75">
      <c r="B12" s="3" t="s">
        <v>124</v>
      </c>
      <c r="C12" s="7">
        <f>12+1.75</f>
        <v>13.75</v>
      </c>
      <c r="D12" s="7"/>
      <c r="E12" s="6"/>
      <c r="F12" s="11">
        <f t="shared" si="0"/>
        <v>13.75</v>
      </c>
      <c r="G12" s="2" t="s">
        <v>66</v>
      </c>
    </row>
    <row r="13" spans="2:7" s="1" customFormat="1" ht="12.75">
      <c r="B13" s="3" t="s">
        <v>100</v>
      </c>
      <c r="C13" s="11">
        <f>20+2.75</f>
        <v>22.75</v>
      </c>
      <c r="D13" s="7"/>
      <c r="E13" s="10">
        <f>19+2.75</f>
        <v>21.75</v>
      </c>
      <c r="F13" s="11">
        <f t="shared" si="0"/>
        <v>44.5</v>
      </c>
      <c r="G13" s="2" t="s">
        <v>10</v>
      </c>
    </row>
    <row r="14" spans="2:7" s="1" customFormat="1" ht="12.75">
      <c r="B14" s="3" t="s">
        <v>269</v>
      </c>
      <c r="C14" s="7" t="s">
        <v>7</v>
      </c>
      <c r="D14" s="7">
        <f>6+0.5</f>
        <v>6.5</v>
      </c>
      <c r="E14" s="6"/>
      <c r="F14" s="11">
        <f t="shared" si="0"/>
        <v>6.5</v>
      </c>
      <c r="G14" s="2" t="s">
        <v>9</v>
      </c>
    </row>
    <row r="15" spans="2:7" s="1" customFormat="1" ht="12.75">
      <c r="B15" s="3" t="s">
        <v>212</v>
      </c>
      <c r="C15" s="7">
        <f>13+1.75</f>
        <v>14.75</v>
      </c>
      <c r="D15" s="7"/>
      <c r="E15" s="6">
        <v>12</v>
      </c>
      <c r="F15" s="11">
        <f t="shared" si="0"/>
        <v>26.75</v>
      </c>
      <c r="G15" s="2" t="s">
        <v>21</v>
      </c>
    </row>
    <row r="16" spans="2:7" s="1" customFormat="1" ht="12.75">
      <c r="B16" s="3" t="s">
        <v>217</v>
      </c>
      <c r="C16" s="7">
        <v>1</v>
      </c>
      <c r="D16" s="7">
        <v>0.5</v>
      </c>
      <c r="E16" s="6"/>
      <c r="F16" s="11">
        <f t="shared" si="0"/>
        <v>1.5</v>
      </c>
      <c r="G16" s="2" t="s">
        <v>113</v>
      </c>
    </row>
    <row r="17" spans="2:7" s="1" customFormat="1" ht="12.75">
      <c r="B17" s="3" t="s">
        <v>215</v>
      </c>
      <c r="C17" s="7">
        <v>7</v>
      </c>
      <c r="D17" s="7"/>
      <c r="E17" s="6"/>
      <c r="F17" s="11">
        <f t="shared" si="0"/>
        <v>7</v>
      </c>
      <c r="G17" s="2" t="s">
        <v>11</v>
      </c>
    </row>
    <row r="18" spans="2:7" s="1" customFormat="1" ht="12.75">
      <c r="B18" s="3"/>
      <c r="C18" s="6"/>
      <c r="D18" s="7"/>
      <c r="E18" s="6"/>
      <c r="F18" s="8"/>
      <c r="G18" s="2"/>
    </row>
    <row r="19" spans="2:7" s="1" customFormat="1" ht="10.5" customHeight="1">
      <c r="B19" s="14" t="s">
        <v>16</v>
      </c>
      <c r="C19" s="15">
        <f>SUM(C3:C18)</f>
        <v>156</v>
      </c>
      <c r="D19" s="15">
        <f>SUM(D3:D18)</f>
        <v>94</v>
      </c>
      <c r="E19" s="15">
        <f>SUM(E3:E18)</f>
        <v>112</v>
      </c>
      <c r="F19" s="42">
        <f>SUM(C19:E19)</f>
        <v>362</v>
      </c>
      <c r="G19" s="2"/>
    </row>
    <row r="20" spans="2:7" s="1" customFormat="1" ht="10.5" customHeight="1">
      <c r="B20" s="19"/>
      <c r="C20" s="15"/>
      <c r="D20" s="15"/>
      <c r="E20" s="15"/>
      <c r="F20" s="28"/>
      <c r="G20" s="2"/>
    </row>
    <row r="21" spans="1:6" ht="10.5" customHeight="1">
      <c r="A21" s="1"/>
      <c r="B21" s="19" t="s">
        <v>7</v>
      </c>
      <c r="C21" s="16"/>
      <c r="D21" s="16"/>
      <c r="E21" s="16" t="s">
        <v>7</v>
      </c>
      <c r="F21" s="16"/>
    </row>
    <row r="22" spans="1:6" ht="12" customHeight="1">
      <c r="A22" s="14" t="s">
        <v>293</v>
      </c>
      <c r="B22" s="1"/>
      <c r="C22" s="1"/>
      <c r="F22" s="1"/>
    </row>
    <row r="23" spans="1:6" ht="12.75" hidden="1">
      <c r="A23" s="1"/>
      <c r="B23" s="1"/>
      <c r="C23" s="1"/>
      <c r="F23" s="1"/>
    </row>
    <row r="25" ht="13.5">
      <c r="B25" s="23"/>
    </row>
    <row r="26" ht="13.5">
      <c r="B26" s="23"/>
    </row>
    <row r="27" ht="13.5">
      <c r="B27" s="23"/>
    </row>
    <row r="28" ht="13.5">
      <c r="B28" s="23"/>
    </row>
    <row r="29" spans="2:7" ht="13.5">
      <c r="B29" s="23"/>
      <c r="G29" s="32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Narrow,Tučné"Mladší žáci</oddHeader>
    <oddFooter>&amp;LHradec Králové, &amp;D (tisk)&amp;CList &amp;F (&amp;A)&amp;RSestavil ing. Pavel Rytíř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3" sqref="B3"/>
    </sheetView>
  </sheetViews>
  <sheetFormatPr defaultColWidth="9.33203125" defaultRowHeight="12.75"/>
  <cols>
    <col min="1" max="1" width="14.16015625" style="0" customWidth="1"/>
    <col min="2" max="2" width="36.5" style="0" customWidth="1"/>
    <col min="4" max="5" width="9.33203125" style="1" customWidth="1"/>
    <col min="7" max="7" width="10" style="32" customWidth="1"/>
  </cols>
  <sheetData>
    <row r="1" spans="1:7" s="37" customFormat="1" ht="12.75">
      <c r="A1" s="36" t="s">
        <v>166</v>
      </c>
      <c r="D1" s="38"/>
      <c r="E1" s="38"/>
      <c r="G1" s="39"/>
    </row>
    <row r="2" spans="1:7" ht="24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5</v>
      </c>
    </row>
    <row r="3" spans="2:7" s="1" customFormat="1" ht="12.75">
      <c r="B3" s="3" t="s">
        <v>167</v>
      </c>
      <c r="C3" s="7">
        <v>1.25</v>
      </c>
      <c r="D3" s="7"/>
      <c r="E3" s="6">
        <v>4</v>
      </c>
      <c r="F3" s="11">
        <f aca="true" t="shared" si="0" ref="F3:F39">SUM(C3:E3)</f>
        <v>5.25</v>
      </c>
      <c r="G3" s="2" t="s">
        <v>183</v>
      </c>
    </row>
    <row r="4" spans="2:7" s="1" customFormat="1" ht="12.75">
      <c r="B4" s="3" t="s">
        <v>168</v>
      </c>
      <c r="C4" s="7">
        <f>2+1.25</f>
        <v>3.25</v>
      </c>
      <c r="D4" s="7">
        <f>5+1.5</f>
        <v>6.5</v>
      </c>
      <c r="E4" s="6">
        <v>0.75</v>
      </c>
      <c r="F4" s="11">
        <f t="shared" si="0"/>
        <v>10.5</v>
      </c>
      <c r="G4" s="2" t="s">
        <v>9</v>
      </c>
    </row>
    <row r="5" spans="2:7" s="1" customFormat="1" ht="12.75">
      <c r="B5" s="3" t="s">
        <v>95</v>
      </c>
      <c r="C5" s="6">
        <v>6</v>
      </c>
      <c r="D5" s="7">
        <f>4+0.25</f>
        <v>4.25</v>
      </c>
      <c r="E5" s="13"/>
      <c r="F5" s="11">
        <f t="shared" si="0"/>
        <v>10.25</v>
      </c>
      <c r="G5" s="2" t="s">
        <v>98</v>
      </c>
    </row>
    <row r="6" spans="1:7" s="1" customFormat="1" ht="12.75">
      <c r="A6" s="1" t="s">
        <v>18</v>
      </c>
      <c r="B6" s="3" t="s">
        <v>172</v>
      </c>
      <c r="C6" s="7">
        <v>1</v>
      </c>
      <c r="D6" s="7"/>
      <c r="E6" s="6"/>
      <c r="F6" s="11">
        <f t="shared" si="0"/>
        <v>1</v>
      </c>
      <c r="G6" s="2" t="s">
        <v>292</v>
      </c>
    </row>
    <row r="7" spans="2:7" s="1" customFormat="1" ht="12.75">
      <c r="B7" s="3" t="s">
        <v>96</v>
      </c>
      <c r="C7" s="41">
        <f>22+2.75</f>
        <v>24.75</v>
      </c>
      <c r="D7" s="11">
        <f>19+2.75</f>
        <v>21.75</v>
      </c>
      <c r="E7" s="35">
        <f>16+2.75</f>
        <v>18.75</v>
      </c>
      <c r="F7" s="34">
        <f t="shared" si="0"/>
        <v>65.25</v>
      </c>
      <c r="G7" s="12" t="s">
        <v>15</v>
      </c>
    </row>
    <row r="8" spans="2:7" s="1" customFormat="1" ht="12.75">
      <c r="B8" s="3" t="s">
        <v>199</v>
      </c>
      <c r="C8" s="7">
        <v>0</v>
      </c>
      <c r="D8" s="7">
        <v>1</v>
      </c>
      <c r="E8" s="6"/>
      <c r="F8" s="11">
        <f t="shared" si="0"/>
        <v>1</v>
      </c>
      <c r="G8" s="2" t="s">
        <v>292</v>
      </c>
    </row>
    <row r="9" spans="2:7" s="1" customFormat="1" ht="12.75">
      <c r="B9" s="3" t="s">
        <v>290</v>
      </c>
      <c r="C9" s="7" t="s">
        <v>7</v>
      </c>
      <c r="D9" s="7"/>
      <c r="E9" s="6">
        <f>1+0.75</f>
        <v>1.75</v>
      </c>
      <c r="F9" s="11">
        <f t="shared" si="0"/>
        <v>1.75</v>
      </c>
      <c r="G9" s="2" t="s">
        <v>187</v>
      </c>
    </row>
    <row r="10" spans="2:7" s="1" customFormat="1" ht="12.75">
      <c r="B10" s="3" t="s">
        <v>204</v>
      </c>
      <c r="C10" s="7">
        <v>0</v>
      </c>
      <c r="D10" s="7"/>
      <c r="E10" s="6"/>
      <c r="F10" s="11">
        <f t="shared" si="0"/>
        <v>0</v>
      </c>
      <c r="G10" s="2" t="s">
        <v>268</v>
      </c>
    </row>
    <row r="11" spans="2:7" s="1" customFormat="1" ht="12.75">
      <c r="B11" s="3" t="s">
        <v>202</v>
      </c>
      <c r="C11" s="7">
        <v>0</v>
      </c>
      <c r="D11" s="7">
        <v>1</v>
      </c>
      <c r="E11" s="6">
        <v>0</v>
      </c>
      <c r="F11" s="11">
        <f t="shared" si="0"/>
        <v>1</v>
      </c>
      <c r="G11" s="2" t="s">
        <v>292</v>
      </c>
    </row>
    <row r="12" spans="2:7" s="1" customFormat="1" ht="12.75">
      <c r="B12" s="3" t="s">
        <v>169</v>
      </c>
      <c r="C12" s="7">
        <f>1+1.25</f>
        <v>2.25</v>
      </c>
      <c r="D12" s="7">
        <v>1</v>
      </c>
      <c r="E12" s="6">
        <v>1.75</v>
      </c>
      <c r="F12" s="11">
        <f t="shared" si="0"/>
        <v>5</v>
      </c>
      <c r="G12" s="2" t="s">
        <v>291</v>
      </c>
    </row>
    <row r="13" spans="2:7" s="1" customFormat="1" ht="12.75">
      <c r="B13" s="3" t="s">
        <v>173</v>
      </c>
      <c r="C13" s="7">
        <v>0</v>
      </c>
      <c r="D13" s="7"/>
      <c r="E13" s="6"/>
      <c r="F13" s="11">
        <f t="shared" si="0"/>
        <v>0</v>
      </c>
      <c r="G13" s="2" t="s">
        <v>268</v>
      </c>
    </row>
    <row r="14" spans="2:7" s="1" customFormat="1" ht="12.75">
      <c r="B14" s="3" t="s">
        <v>174</v>
      </c>
      <c r="C14" s="7">
        <v>0</v>
      </c>
      <c r="D14" s="7"/>
      <c r="E14" s="6"/>
      <c r="F14" s="11">
        <f t="shared" si="0"/>
        <v>0</v>
      </c>
      <c r="G14" s="2" t="s">
        <v>268</v>
      </c>
    </row>
    <row r="15" spans="2:7" s="1" customFormat="1" ht="12.75">
      <c r="B15" s="3" t="s">
        <v>170</v>
      </c>
      <c r="C15" s="7">
        <f>9+2.75</f>
        <v>11.75</v>
      </c>
      <c r="D15" s="11">
        <f>15+2.75</f>
        <v>17.75</v>
      </c>
      <c r="E15" s="10">
        <f>16+2.75</f>
        <v>18.75</v>
      </c>
      <c r="F15" s="11">
        <f t="shared" si="0"/>
        <v>48.25</v>
      </c>
      <c r="G15" s="12" t="s">
        <v>8</v>
      </c>
    </row>
    <row r="16" spans="2:7" s="1" customFormat="1" ht="12.75">
      <c r="B16" s="3" t="s">
        <v>193</v>
      </c>
      <c r="C16" s="7">
        <f>6+1.75</f>
        <v>7.75</v>
      </c>
      <c r="D16" s="7">
        <v>0.25</v>
      </c>
      <c r="E16" s="6">
        <f>5+1.75</f>
        <v>6.75</v>
      </c>
      <c r="F16" s="11">
        <f t="shared" si="0"/>
        <v>14.75</v>
      </c>
      <c r="G16" s="2" t="s">
        <v>11</v>
      </c>
    </row>
    <row r="17" spans="2:7" s="1" customFormat="1" ht="12.75">
      <c r="B17" s="3" t="s">
        <v>194</v>
      </c>
      <c r="C17" s="7">
        <f>6+1.75</f>
        <v>7.75</v>
      </c>
      <c r="D17" s="7">
        <f>5+0.25</f>
        <v>5.25</v>
      </c>
      <c r="E17" s="6">
        <f>5+1.75</f>
        <v>6.75</v>
      </c>
      <c r="F17" s="11">
        <f t="shared" si="0"/>
        <v>19.75</v>
      </c>
      <c r="G17" s="2" t="s">
        <v>12</v>
      </c>
    </row>
    <row r="18" spans="2:7" s="1" customFormat="1" ht="12.75">
      <c r="B18" s="3" t="s">
        <v>205</v>
      </c>
      <c r="C18" s="7">
        <v>0</v>
      </c>
      <c r="D18" s="7">
        <f>2+1</f>
        <v>3</v>
      </c>
      <c r="E18" s="6">
        <v>1</v>
      </c>
      <c r="F18" s="11">
        <f t="shared" si="0"/>
        <v>4</v>
      </c>
      <c r="G18" s="2" t="s">
        <v>186</v>
      </c>
    </row>
    <row r="19" spans="2:7" s="1" customFormat="1" ht="12.75">
      <c r="B19" s="3" t="s">
        <v>266</v>
      </c>
      <c r="C19" s="7" t="s">
        <v>7</v>
      </c>
      <c r="D19" s="7">
        <v>5</v>
      </c>
      <c r="E19" s="6">
        <v>3</v>
      </c>
      <c r="F19" s="11">
        <f t="shared" si="0"/>
        <v>8</v>
      </c>
      <c r="G19" s="2" t="s">
        <v>248</v>
      </c>
    </row>
    <row r="20" spans="2:7" s="1" customFormat="1" ht="12.75">
      <c r="B20" s="3" t="s">
        <v>198</v>
      </c>
      <c r="C20" s="7">
        <v>0</v>
      </c>
      <c r="D20" s="7"/>
      <c r="E20" s="6">
        <v>0</v>
      </c>
      <c r="F20" s="11">
        <f t="shared" si="0"/>
        <v>0</v>
      </c>
      <c r="G20" s="2" t="s">
        <v>268</v>
      </c>
    </row>
    <row r="21" spans="2:7" s="1" customFormat="1" ht="12.75">
      <c r="B21" s="3" t="s">
        <v>192</v>
      </c>
      <c r="C21" s="7">
        <f>8.5+2.75</f>
        <v>11.25</v>
      </c>
      <c r="D21" s="7">
        <f>11+1.5</f>
        <v>12.5</v>
      </c>
      <c r="E21" s="6"/>
      <c r="F21" s="11">
        <f t="shared" si="0"/>
        <v>23.75</v>
      </c>
      <c r="G21" s="2" t="s">
        <v>20</v>
      </c>
    </row>
    <row r="22" spans="2:7" s="1" customFormat="1" ht="12.75">
      <c r="B22" s="3" t="s">
        <v>207</v>
      </c>
      <c r="C22" s="7">
        <v>0</v>
      </c>
      <c r="D22" s="7"/>
      <c r="E22" s="6"/>
      <c r="F22" s="11">
        <f t="shared" si="0"/>
        <v>0</v>
      </c>
      <c r="G22" s="2" t="s">
        <v>268</v>
      </c>
    </row>
    <row r="23" spans="2:7" s="1" customFormat="1" ht="12.75">
      <c r="B23" s="3" t="s">
        <v>196</v>
      </c>
      <c r="C23" s="7">
        <v>4</v>
      </c>
      <c r="D23" s="7">
        <v>1</v>
      </c>
      <c r="E23" s="6"/>
      <c r="F23" s="11">
        <f t="shared" si="0"/>
        <v>5</v>
      </c>
      <c r="G23" s="2" t="s">
        <v>291</v>
      </c>
    </row>
    <row r="24" spans="2:7" s="1" customFormat="1" ht="12.75">
      <c r="B24" s="3" t="s">
        <v>197</v>
      </c>
      <c r="C24" s="7">
        <v>0</v>
      </c>
      <c r="D24" s="7"/>
      <c r="E24" s="6">
        <v>0</v>
      </c>
      <c r="F24" s="11">
        <f t="shared" si="0"/>
        <v>0</v>
      </c>
      <c r="G24" s="2" t="s">
        <v>268</v>
      </c>
    </row>
    <row r="25" spans="2:7" s="1" customFormat="1" ht="12.75">
      <c r="B25" s="3" t="s">
        <v>175</v>
      </c>
      <c r="C25" s="7">
        <f>8+1.75</f>
        <v>9.75</v>
      </c>
      <c r="D25" s="7"/>
      <c r="E25" s="6"/>
      <c r="F25" s="11">
        <f t="shared" si="0"/>
        <v>9.75</v>
      </c>
      <c r="G25" s="2" t="s">
        <v>109</v>
      </c>
    </row>
    <row r="26" spans="2:7" s="1" customFormat="1" ht="12.75">
      <c r="B26" s="3" t="s">
        <v>94</v>
      </c>
      <c r="C26" s="7">
        <v>4</v>
      </c>
      <c r="D26" s="7">
        <f>6+1.5</f>
        <v>7.5</v>
      </c>
      <c r="E26" s="6">
        <v>12</v>
      </c>
      <c r="F26" s="11">
        <f t="shared" si="0"/>
        <v>23.5</v>
      </c>
      <c r="G26" s="2" t="s">
        <v>66</v>
      </c>
    </row>
    <row r="27" spans="2:7" s="1" customFormat="1" ht="12.75">
      <c r="B27" s="3" t="s">
        <v>206</v>
      </c>
      <c r="C27" s="7">
        <v>0</v>
      </c>
      <c r="D27" s="7"/>
      <c r="E27" s="6"/>
      <c r="F27" s="11">
        <f t="shared" si="0"/>
        <v>0</v>
      </c>
      <c r="G27" s="2" t="s">
        <v>268</v>
      </c>
    </row>
    <row r="28" spans="2:7" s="1" customFormat="1" ht="12.75">
      <c r="B28" s="3" t="s">
        <v>93</v>
      </c>
      <c r="C28" s="7">
        <f>11+1.25</f>
        <v>12.25</v>
      </c>
      <c r="D28" s="7">
        <v>12.5</v>
      </c>
      <c r="E28" s="6"/>
      <c r="F28" s="11">
        <f t="shared" si="0"/>
        <v>24.75</v>
      </c>
      <c r="G28" s="2" t="s">
        <v>21</v>
      </c>
    </row>
    <row r="29" spans="2:7" s="1" customFormat="1" ht="12.75">
      <c r="B29" s="3" t="s">
        <v>92</v>
      </c>
      <c r="C29" s="11">
        <f>19+2.75</f>
        <v>21.75</v>
      </c>
      <c r="D29" s="34">
        <f>20+2.75</f>
        <v>22.75</v>
      </c>
      <c r="E29" s="41">
        <f>22+2.75</f>
        <v>24.75</v>
      </c>
      <c r="F29" s="34">
        <f t="shared" si="0"/>
        <v>69.25</v>
      </c>
      <c r="G29" s="33" t="s">
        <v>14</v>
      </c>
    </row>
    <row r="30" spans="2:7" s="1" customFormat="1" ht="12.75">
      <c r="B30" s="3" t="s">
        <v>97</v>
      </c>
      <c r="C30" s="7">
        <f>3+1</f>
        <v>4</v>
      </c>
      <c r="D30" s="7"/>
      <c r="E30" s="6">
        <v>4</v>
      </c>
      <c r="F30" s="11">
        <f t="shared" si="0"/>
        <v>8</v>
      </c>
      <c r="G30" s="2" t="s">
        <v>248</v>
      </c>
    </row>
    <row r="31" spans="2:7" s="1" customFormat="1" ht="12.75">
      <c r="B31" s="3" t="s">
        <v>201</v>
      </c>
      <c r="C31" s="7">
        <v>0</v>
      </c>
      <c r="D31" s="7"/>
      <c r="E31" s="6"/>
      <c r="F31" s="11">
        <f t="shared" si="0"/>
        <v>0</v>
      </c>
      <c r="G31" s="2" t="s">
        <v>268</v>
      </c>
    </row>
    <row r="32" spans="2:7" s="1" customFormat="1" ht="12.75">
      <c r="B32" s="3" t="s">
        <v>176</v>
      </c>
      <c r="C32" s="7">
        <f>10+1</f>
        <v>11</v>
      </c>
      <c r="D32" s="7">
        <f>17+0.25</f>
        <v>17.25</v>
      </c>
      <c r="E32" s="6">
        <f>16+1.75</f>
        <v>17.75</v>
      </c>
      <c r="F32" s="11">
        <f t="shared" si="0"/>
        <v>46</v>
      </c>
      <c r="G32" s="2" t="s">
        <v>10</v>
      </c>
    </row>
    <row r="33" spans="2:7" s="1" customFormat="1" ht="12.75">
      <c r="B33" s="3" t="s">
        <v>200</v>
      </c>
      <c r="C33" s="7">
        <v>0</v>
      </c>
      <c r="D33" s="7"/>
      <c r="E33" s="6"/>
      <c r="F33" s="11">
        <f t="shared" si="0"/>
        <v>0</v>
      </c>
      <c r="G33" s="2" t="s">
        <v>268</v>
      </c>
    </row>
    <row r="34" spans="2:7" s="1" customFormat="1" ht="12.75">
      <c r="B34" s="3" t="s">
        <v>191</v>
      </c>
      <c r="C34" s="11">
        <f>13+1.75</f>
        <v>14.75</v>
      </c>
      <c r="D34" s="7">
        <f>9.5+2.75</f>
        <v>12.25</v>
      </c>
      <c r="E34" s="6">
        <f>6+2.75</f>
        <v>8.75</v>
      </c>
      <c r="F34" s="11">
        <f t="shared" si="0"/>
        <v>35.75</v>
      </c>
      <c r="G34" s="2" t="s">
        <v>13</v>
      </c>
    </row>
    <row r="35" spans="2:7" s="1" customFormat="1" ht="12.75">
      <c r="B35" s="3" t="s">
        <v>171</v>
      </c>
      <c r="C35" s="7">
        <f>5+1</f>
        <v>6</v>
      </c>
      <c r="D35" s="7"/>
      <c r="E35" s="6">
        <f>2+0.75</f>
        <v>2.75</v>
      </c>
      <c r="F35" s="11">
        <f t="shared" si="0"/>
        <v>8.75</v>
      </c>
      <c r="G35" s="2" t="s">
        <v>6</v>
      </c>
    </row>
    <row r="36" spans="2:7" s="1" customFormat="1" ht="12.75">
      <c r="B36" s="3" t="s">
        <v>195</v>
      </c>
      <c r="C36" s="7">
        <v>4</v>
      </c>
      <c r="D36" s="7">
        <f>4+1</f>
        <v>5</v>
      </c>
      <c r="E36" s="6"/>
      <c r="F36" s="11">
        <f t="shared" si="0"/>
        <v>9</v>
      </c>
      <c r="G36" s="2" t="s">
        <v>113</v>
      </c>
    </row>
    <row r="37" spans="2:7" s="1" customFormat="1" ht="12.75">
      <c r="B37" s="3" t="s">
        <v>208</v>
      </c>
      <c r="C37" s="7">
        <v>1</v>
      </c>
      <c r="D37" s="7">
        <f>3+1.5</f>
        <v>4.5</v>
      </c>
      <c r="E37" s="6">
        <f>2+0.75</f>
        <v>2.75</v>
      </c>
      <c r="F37" s="11">
        <f t="shared" si="0"/>
        <v>8.25</v>
      </c>
      <c r="G37" s="2" t="s">
        <v>99</v>
      </c>
    </row>
    <row r="38" spans="2:7" s="1" customFormat="1" ht="12.75">
      <c r="B38" s="3" t="s">
        <v>203</v>
      </c>
      <c r="C38" s="7">
        <v>0</v>
      </c>
      <c r="D38" s="7"/>
      <c r="E38" s="6"/>
      <c r="F38" s="11">
        <f t="shared" si="0"/>
        <v>0</v>
      </c>
      <c r="G38" s="2" t="s">
        <v>268</v>
      </c>
    </row>
    <row r="39" spans="2:7" s="1" customFormat="1" ht="12.75">
      <c r="B39" s="14" t="s">
        <v>16</v>
      </c>
      <c r="C39" s="15">
        <f>SUM(C1:C38)</f>
        <v>169.5</v>
      </c>
      <c r="D39" s="15">
        <f>SUM(D3:D38)</f>
        <v>162</v>
      </c>
      <c r="E39" s="15">
        <f>SUM(E3:E38)</f>
        <v>136</v>
      </c>
      <c r="F39" s="28">
        <f t="shared" si="0"/>
        <v>467.5</v>
      </c>
      <c r="G39" s="2"/>
    </row>
    <row r="40" spans="2:7" s="1" customFormat="1" ht="12.75">
      <c r="B40" s="14" t="s">
        <v>23</v>
      </c>
      <c r="C40" s="53" t="s">
        <v>121</v>
      </c>
      <c r="D40" s="53" t="s">
        <v>121</v>
      </c>
      <c r="E40" s="54" t="s">
        <v>121</v>
      </c>
      <c r="F40" s="28"/>
      <c r="G40" s="2"/>
    </row>
    <row r="41" spans="1:6" ht="12.75">
      <c r="A41" s="1"/>
      <c r="B41" s="19" t="s">
        <v>7</v>
      </c>
      <c r="C41" s="15"/>
      <c r="D41" s="16"/>
      <c r="E41" s="16" t="s">
        <v>7</v>
      </c>
      <c r="F41" s="16"/>
    </row>
    <row r="42" spans="1:7" s="14" customFormat="1" ht="12" customHeight="1">
      <c r="A42" s="14" t="s">
        <v>289</v>
      </c>
      <c r="C42" s="15"/>
      <c r="G42" s="18"/>
    </row>
    <row r="43" spans="1:6" ht="12.75" hidden="1">
      <c r="A43" s="1"/>
      <c r="B43" s="1"/>
      <c r="C43" s="16"/>
      <c r="F43" s="1"/>
    </row>
    <row r="44" spans="2:7" s="14" customFormat="1" ht="13.5">
      <c r="B44" s="22"/>
      <c r="G44" s="18"/>
    </row>
    <row r="45" spans="2:3" ht="13.5">
      <c r="B45" s="23"/>
      <c r="C45" s="14"/>
    </row>
    <row r="46" ht="13.5">
      <c r="B46" s="23"/>
    </row>
    <row r="47" ht="13.5">
      <c r="B47" s="23"/>
    </row>
  </sheetData>
  <sheetProtection selectLockedCells="1" selectUnlockedCells="1"/>
  <printOptions gridLines="1" horizontalCentered="1" verticalCentered="1"/>
  <pageMargins left="0.7874015748031497" right="0.7874015748031497" top="0.5905511811023623" bottom="0.3937007874015748" header="0.31496062992125984" footer="0.11811023622047245"/>
  <pageSetup horizontalDpi="300" verticalDpi="300" orientation="landscape" paperSize="9" scale="85" r:id="rId1"/>
  <headerFooter alignWithMargins="0">
    <oddHeader>&amp;LTJ SOKOL Hradec Králové, atletický oddíl&amp;C&amp;"Arial Narrow,Tučné"Přehled bodujících závodnic v sezóně 2020&amp;R&amp;"Arial Narrow,Tučné"Mladší žákyně</oddHeader>
    <oddFooter>&amp;LHradec Králové, &amp;D (tisk)&amp;CList &amp;F (&amp;A)&amp;RSestavil ing. Pavel Rytíř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12" sqref="E12"/>
    </sheetView>
  </sheetViews>
  <sheetFormatPr defaultColWidth="31.66015625" defaultRowHeight="12.75"/>
  <cols>
    <col min="1" max="1" width="4.83203125" style="1" customWidth="1"/>
    <col min="2" max="2" width="32.83203125" style="1" customWidth="1"/>
    <col min="3" max="6" width="10.83203125" style="1" customWidth="1"/>
    <col min="7" max="7" width="7.66015625" style="2" customWidth="1"/>
    <col min="8" max="8" width="3.5" style="1" customWidth="1"/>
    <col min="9" max="19" width="10.83203125" style="1" customWidth="1"/>
    <col min="20" max="16384" width="31.66015625" style="1" customWidth="1"/>
  </cols>
  <sheetData>
    <row r="1" spans="1:8" ht="12.75">
      <c r="A1" s="24"/>
      <c r="B1" s="3" t="s">
        <v>178</v>
      </c>
      <c r="H1" s="1" t="s">
        <v>18</v>
      </c>
    </row>
    <row r="2" spans="2:7" s="4" customFormat="1" ht="25.5">
      <c r="B2" s="4" t="s">
        <v>19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5</v>
      </c>
    </row>
    <row r="3" spans="2:7" s="3" customFormat="1" ht="12.75">
      <c r="B3" s="3" t="s">
        <v>45</v>
      </c>
      <c r="C3" s="10">
        <v>21</v>
      </c>
      <c r="D3" s="10">
        <v>15</v>
      </c>
      <c r="E3" s="10">
        <v>21</v>
      </c>
      <c r="F3" s="10">
        <f aca="true" t="shared" si="0" ref="F3:F32">SUM(C3:E3)</f>
        <v>57</v>
      </c>
      <c r="G3" s="12" t="s">
        <v>8</v>
      </c>
    </row>
    <row r="4" spans="2:7" ht="12.75">
      <c r="B4" s="3" t="s">
        <v>46</v>
      </c>
      <c r="C4" s="6">
        <v>0</v>
      </c>
      <c r="D4" s="6"/>
      <c r="E4" s="6">
        <v>4</v>
      </c>
      <c r="F4" s="10">
        <f t="shared" si="0"/>
        <v>4</v>
      </c>
      <c r="G4" s="2" t="s">
        <v>184</v>
      </c>
    </row>
    <row r="5" spans="1:8" ht="12.75">
      <c r="A5" s="3"/>
      <c r="B5" s="3" t="s">
        <v>28</v>
      </c>
      <c r="C5" s="6">
        <v>1.25</v>
      </c>
      <c r="D5" s="6">
        <v>0.25</v>
      </c>
      <c r="E5" s="6"/>
      <c r="F5" s="10">
        <f t="shared" si="0"/>
        <v>1.5</v>
      </c>
      <c r="G5" s="2" t="s">
        <v>230</v>
      </c>
      <c r="H5" s="3"/>
    </row>
    <row r="6" spans="1:8" ht="12.75">
      <c r="A6" s="3"/>
      <c r="B6" s="3" t="s">
        <v>52</v>
      </c>
      <c r="C6" s="6" t="s">
        <v>7</v>
      </c>
      <c r="D6" s="6" t="s">
        <v>7</v>
      </c>
      <c r="E6" s="6">
        <v>2.75</v>
      </c>
      <c r="F6" s="10">
        <f t="shared" si="0"/>
        <v>2.75</v>
      </c>
      <c r="G6" s="2" t="s">
        <v>187</v>
      </c>
      <c r="H6" s="3"/>
    </row>
    <row r="7" spans="2:7" ht="12.75">
      <c r="B7" s="3" t="s">
        <v>29</v>
      </c>
      <c r="C7" s="6"/>
      <c r="D7" s="6">
        <v>15</v>
      </c>
      <c r="E7" s="13">
        <v>13</v>
      </c>
      <c r="F7" s="10">
        <f t="shared" si="0"/>
        <v>28</v>
      </c>
      <c r="G7" s="2" t="s">
        <v>20</v>
      </c>
    </row>
    <row r="8" spans="1:7" ht="12.75">
      <c r="A8" s="3"/>
      <c r="B8" s="9" t="s">
        <v>114</v>
      </c>
      <c r="C8" s="41">
        <v>25</v>
      </c>
      <c r="D8" s="11">
        <f>20+1.5</f>
        <v>21.5</v>
      </c>
      <c r="E8" s="6">
        <v>17.5</v>
      </c>
      <c r="F8" s="34">
        <f t="shared" si="0"/>
        <v>64</v>
      </c>
      <c r="G8" s="33" t="s">
        <v>14</v>
      </c>
    </row>
    <row r="9" spans="2:7" ht="12.75">
      <c r="B9" s="3" t="s">
        <v>43</v>
      </c>
      <c r="C9" s="6">
        <f>1+0.5</f>
        <v>1.5</v>
      </c>
      <c r="D9" s="6">
        <v>0.25</v>
      </c>
      <c r="E9" s="13"/>
      <c r="F9" s="10">
        <f t="shared" si="0"/>
        <v>1.75</v>
      </c>
      <c r="G9" s="2" t="s">
        <v>229</v>
      </c>
    </row>
    <row r="10" spans="2:7" ht="12.75">
      <c r="B10" s="3" t="s">
        <v>127</v>
      </c>
      <c r="C10" s="6">
        <v>2</v>
      </c>
      <c r="D10" s="6">
        <f>5+1.5</f>
        <v>6.5</v>
      </c>
      <c r="E10" s="13">
        <f>2+2.75</f>
        <v>4.75</v>
      </c>
      <c r="F10" s="10">
        <f t="shared" si="0"/>
        <v>13.25</v>
      </c>
      <c r="G10" s="2" t="s">
        <v>6</v>
      </c>
    </row>
    <row r="11" spans="2:7" ht="12.75">
      <c r="B11" s="3" t="s">
        <v>221</v>
      </c>
      <c r="C11" s="6">
        <v>0.5</v>
      </c>
      <c r="D11" s="6"/>
      <c r="E11" s="13">
        <v>1</v>
      </c>
      <c r="F11" s="10">
        <f t="shared" si="0"/>
        <v>1.5</v>
      </c>
      <c r="G11" s="2" t="s">
        <v>230</v>
      </c>
    </row>
    <row r="12" spans="2:7" ht="12.75">
      <c r="B12" s="9" t="s">
        <v>44</v>
      </c>
      <c r="C12" s="10">
        <v>15</v>
      </c>
      <c r="D12" s="6">
        <v>14</v>
      </c>
      <c r="E12" s="41">
        <v>24</v>
      </c>
      <c r="F12" s="10">
        <f t="shared" si="0"/>
        <v>53</v>
      </c>
      <c r="G12" s="2" t="s">
        <v>10</v>
      </c>
    </row>
    <row r="13" spans="1:8" s="3" customFormat="1" ht="12.75">
      <c r="A13" s="1"/>
      <c r="B13" s="3" t="s">
        <v>90</v>
      </c>
      <c r="C13" s="6">
        <f>6+0.5</f>
        <v>6.5</v>
      </c>
      <c r="D13" s="6">
        <v>3</v>
      </c>
      <c r="E13" s="13">
        <v>4</v>
      </c>
      <c r="F13" s="10">
        <f t="shared" si="0"/>
        <v>13.5</v>
      </c>
      <c r="G13" s="2" t="s">
        <v>113</v>
      </c>
      <c r="H13" s="1"/>
    </row>
    <row r="14" spans="1:8" s="3" customFormat="1" ht="12.75">
      <c r="A14" s="1"/>
      <c r="B14" s="3" t="s">
        <v>69</v>
      </c>
      <c r="C14" s="6" t="s">
        <v>7</v>
      </c>
      <c r="D14" s="6">
        <v>5</v>
      </c>
      <c r="E14" s="13">
        <f>5+1</f>
        <v>6</v>
      </c>
      <c r="F14" s="10">
        <f t="shared" si="0"/>
        <v>11</v>
      </c>
      <c r="G14" s="2" t="s">
        <v>210</v>
      </c>
      <c r="H14" s="1"/>
    </row>
    <row r="15" spans="2:7" ht="12.75">
      <c r="B15" s="9" t="s">
        <v>220</v>
      </c>
      <c r="C15" s="6">
        <v>1</v>
      </c>
      <c r="D15" s="41"/>
      <c r="E15" s="41"/>
      <c r="F15" s="10">
        <f t="shared" si="0"/>
        <v>1</v>
      </c>
      <c r="G15" s="2" t="s">
        <v>238</v>
      </c>
    </row>
    <row r="16" spans="1:8" s="3" customFormat="1" ht="12.75">
      <c r="A16" s="1"/>
      <c r="B16" s="3" t="s">
        <v>75</v>
      </c>
      <c r="C16" s="6">
        <v>14</v>
      </c>
      <c r="D16" s="41">
        <v>22</v>
      </c>
      <c r="E16" s="35">
        <v>22</v>
      </c>
      <c r="F16" s="10">
        <f t="shared" si="0"/>
        <v>58</v>
      </c>
      <c r="G16" s="12" t="s">
        <v>15</v>
      </c>
      <c r="H16" s="1"/>
    </row>
    <row r="17" spans="1:8" ht="12.75">
      <c r="A17" s="3"/>
      <c r="B17" s="3" t="s">
        <v>235</v>
      </c>
      <c r="C17" s="6" t="s">
        <v>7</v>
      </c>
      <c r="D17" s="6" t="s">
        <v>7</v>
      </c>
      <c r="E17" s="6">
        <v>13</v>
      </c>
      <c r="F17" s="10">
        <f t="shared" si="0"/>
        <v>13</v>
      </c>
      <c r="G17" s="2" t="s">
        <v>99</v>
      </c>
      <c r="H17" s="3"/>
    </row>
    <row r="18" spans="1:8" s="3" customFormat="1" ht="12.75">
      <c r="A18" s="1"/>
      <c r="B18" s="3" t="s">
        <v>35</v>
      </c>
      <c r="C18" s="6">
        <f>6+2+1.25</f>
        <v>9.25</v>
      </c>
      <c r="D18" s="6">
        <f>12+1.5</f>
        <v>13.5</v>
      </c>
      <c r="E18" s="13">
        <f>10+2.75</f>
        <v>12.75</v>
      </c>
      <c r="F18" s="10">
        <f t="shared" si="0"/>
        <v>35.5</v>
      </c>
      <c r="G18" s="2" t="s">
        <v>21</v>
      </c>
      <c r="H18" s="1"/>
    </row>
    <row r="19" spans="1:7" ht="12.75">
      <c r="A19" s="3"/>
      <c r="B19" s="3" t="s">
        <v>126</v>
      </c>
      <c r="C19" s="6">
        <v>14</v>
      </c>
      <c r="D19" s="7">
        <v>17</v>
      </c>
      <c r="E19" s="6">
        <v>11</v>
      </c>
      <c r="F19" s="11">
        <f t="shared" si="0"/>
        <v>42</v>
      </c>
      <c r="G19" s="2" t="s">
        <v>13</v>
      </c>
    </row>
    <row r="20" spans="2:8" s="3" customFormat="1" ht="12.75">
      <c r="B20" s="3" t="s">
        <v>70</v>
      </c>
      <c r="C20" s="6">
        <v>3</v>
      </c>
      <c r="D20" s="7"/>
      <c r="E20" s="6"/>
      <c r="F20" s="11">
        <f t="shared" si="0"/>
        <v>3</v>
      </c>
      <c r="G20" s="2" t="s">
        <v>237</v>
      </c>
      <c r="H20" s="1"/>
    </row>
    <row r="21" spans="2:7" ht="12.75">
      <c r="B21" s="3" t="s">
        <v>25</v>
      </c>
      <c r="C21" s="6">
        <v>0</v>
      </c>
      <c r="D21" s="6"/>
      <c r="E21" s="6"/>
      <c r="F21" s="10">
        <f t="shared" si="0"/>
        <v>0</v>
      </c>
      <c r="G21" s="2" t="s">
        <v>239</v>
      </c>
    </row>
    <row r="22" spans="1:8" s="3" customFormat="1" ht="12.75">
      <c r="A22" s="1"/>
      <c r="B22" s="9" t="s">
        <v>102</v>
      </c>
      <c r="C22" s="6"/>
      <c r="D22" s="6">
        <v>3</v>
      </c>
      <c r="E22" s="6"/>
      <c r="F22" s="10">
        <f t="shared" si="0"/>
        <v>3</v>
      </c>
      <c r="G22" s="2" t="s">
        <v>237</v>
      </c>
      <c r="H22" s="1"/>
    </row>
    <row r="23" spans="1:8" s="3" customFormat="1" ht="12.75">
      <c r="A23" s="1"/>
      <c r="B23" s="9" t="s">
        <v>116</v>
      </c>
      <c r="C23" s="6">
        <v>9.5</v>
      </c>
      <c r="D23" s="6"/>
      <c r="E23" s="6"/>
      <c r="F23" s="10">
        <f t="shared" si="0"/>
        <v>9.5</v>
      </c>
      <c r="G23" s="2" t="s">
        <v>182</v>
      </c>
      <c r="H23" s="1"/>
    </row>
    <row r="24" spans="1:8" s="3" customFormat="1" ht="12.75">
      <c r="A24" s="1"/>
      <c r="B24" s="3" t="s">
        <v>60</v>
      </c>
      <c r="C24" s="6">
        <v>8</v>
      </c>
      <c r="D24" s="6">
        <v>7</v>
      </c>
      <c r="E24" s="6">
        <v>8</v>
      </c>
      <c r="F24" s="10">
        <f t="shared" si="0"/>
        <v>23</v>
      </c>
      <c r="G24" s="2" t="s">
        <v>66</v>
      </c>
      <c r="H24" s="1"/>
    </row>
    <row r="25" spans="2:7" ht="12.75">
      <c r="B25" s="9" t="s">
        <v>222</v>
      </c>
      <c r="C25" s="6">
        <v>0.5</v>
      </c>
      <c r="D25" s="6">
        <f>6+0.25</f>
        <v>6.25</v>
      </c>
      <c r="E25" s="6">
        <v>5</v>
      </c>
      <c r="F25" s="10">
        <f t="shared" si="0"/>
        <v>11.75</v>
      </c>
      <c r="G25" s="2" t="s">
        <v>209</v>
      </c>
    </row>
    <row r="26" spans="1:8" s="3" customFormat="1" ht="12.75">
      <c r="A26" s="1"/>
      <c r="B26" s="3" t="s">
        <v>30</v>
      </c>
      <c r="C26" s="6">
        <f>2+2+1.25</f>
        <v>5.25</v>
      </c>
      <c r="D26" s="6"/>
      <c r="E26" s="13">
        <f>12+2.75</f>
        <v>14.75</v>
      </c>
      <c r="F26" s="10">
        <f t="shared" si="0"/>
        <v>20</v>
      </c>
      <c r="G26" s="2" t="s">
        <v>11</v>
      </c>
      <c r="H26" s="1"/>
    </row>
    <row r="27" spans="1:7" ht="12.75">
      <c r="A27" s="3"/>
      <c r="B27" s="3" t="s">
        <v>103</v>
      </c>
      <c r="C27" s="6">
        <v>9</v>
      </c>
      <c r="D27" s="7">
        <v>8</v>
      </c>
      <c r="E27" s="6">
        <v>2</v>
      </c>
      <c r="F27" s="11">
        <f t="shared" si="0"/>
        <v>19</v>
      </c>
      <c r="G27" s="2" t="s">
        <v>9</v>
      </c>
    </row>
    <row r="28" spans="1:8" ht="12.75">
      <c r="A28" s="3"/>
      <c r="B28" s="9" t="s">
        <v>228</v>
      </c>
      <c r="C28" s="6" t="s">
        <v>7</v>
      </c>
      <c r="D28" s="6">
        <v>6</v>
      </c>
      <c r="E28" s="6">
        <f>14+1</f>
        <v>15</v>
      </c>
      <c r="F28" s="10">
        <f t="shared" si="0"/>
        <v>21</v>
      </c>
      <c r="G28" s="2" t="s">
        <v>12</v>
      </c>
      <c r="H28" s="3"/>
    </row>
    <row r="29" spans="1:8" ht="12.75">
      <c r="A29" s="3"/>
      <c r="B29" s="9" t="s">
        <v>115</v>
      </c>
      <c r="C29" s="6">
        <f>7+1.25</f>
        <v>8.25</v>
      </c>
      <c r="D29" s="6">
        <f>3+0.25</f>
        <v>3.25</v>
      </c>
      <c r="E29" s="6">
        <f>4+1</f>
        <v>5</v>
      </c>
      <c r="F29" s="10">
        <f t="shared" si="0"/>
        <v>16.5</v>
      </c>
      <c r="G29" s="2" t="s">
        <v>109</v>
      </c>
      <c r="H29" s="3"/>
    </row>
    <row r="30" spans="2:7" s="3" customFormat="1" ht="12.75">
      <c r="B30" s="3" t="s">
        <v>218</v>
      </c>
      <c r="C30" s="6">
        <v>6</v>
      </c>
      <c r="D30" s="6">
        <v>8</v>
      </c>
      <c r="E30" s="6">
        <v>3</v>
      </c>
      <c r="F30" s="10">
        <f t="shared" si="0"/>
        <v>17</v>
      </c>
      <c r="G30" s="2" t="s">
        <v>98</v>
      </c>
    </row>
    <row r="31" spans="2:7" s="3" customFormat="1" ht="12.75">
      <c r="B31" s="3" t="s">
        <v>64</v>
      </c>
      <c r="C31" s="6">
        <v>2</v>
      </c>
      <c r="D31" s="6">
        <f>1+1.5</f>
        <v>2.5</v>
      </c>
      <c r="E31" s="6"/>
      <c r="F31" s="10">
        <f t="shared" si="0"/>
        <v>4.5</v>
      </c>
      <c r="G31" s="2" t="s">
        <v>183</v>
      </c>
    </row>
    <row r="32" spans="2:6" ht="12.75">
      <c r="B32" s="14" t="s">
        <v>16</v>
      </c>
      <c r="C32" s="26">
        <f>SUM(C3:C31)</f>
        <v>162.5</v>
      </c>
      <c r="D32" s="26">
        <f>SUM(D3:D31)</f>
        <v>177</v>
      </c>
      <c r="E32" s="26">
        <f>SUM(E3:E31)</f>
        <v>209.5</v>
      </c>
      <c r="F32" s="26">
        <f t="shared" si="0"/>
        <v>549</v>
      </c>
    </row>
    <row r="33" spans="2:7" s="14" customFormat="1" ht="12.75">
      <c r="B33" s="19"/>
      <c r="C33" s="111"/>
      <c r="D33" s="27" t="s">
        <v>7</v>
      </c>
      <c r="E33" s="14" t="s">
        <v>7</v>
      </c>
      <c r="F33" s="27"/>
      <c r="G33" s="18"/>
    </row>
    <row r="34" ht="12.75">
      <c r="A34" s="1" t="s">
        <v>236</v>
      </c>
    </row>
  </sheetData>
  <sheetProtection selectLockedCells="1" selectUnlockedCells="1"/>
  <printOptions gridLines="1"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&amp;LTJ SOKOL Hradec Králové, atletický oddíl&amp;C&amp;"Arial Narrow,Tučné"Přehled bodujících závodnic v sezóně 2020&amp;R&amp;"Arial Narrow,Tučné"Ženy</oddHeader>
    <oddFooter>&amp;LHradec Králové, dne &amp;D (tisk)&amp;CList: &amp;F(&amp;A)&amp;RZpracoval: ing. Pavel Rytíř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5" sqref="D15"/>
    </sheetView>
  </sheetViews>
  <sheetFormatPr defaultColWidth="31.66015625" defaultRowHeight="12.75"/>
  <cols>
    <col min="1" max="1" width="7.16015625" style="85" customWidth="1"/>
    <col min="2" max="2" width="32.83203125" style="85" customWidth="1"/>
    <col min="3" max="6" width="10.83203125" style="85" customWidth="1"/>
    <col min="7" max="7" width="7.66015625" style="96" customWidth="1"/>
    <col min="8" max="8" width="10" style="85" customWidth="1"/>
    <col min="9" max="16384" width="31.66015625" style="85" customWidth="1"/>
  </cols>
  <sheetData>
    <row r="1" spans="1:10" ht="12.75">
      <c r="A1" s="112"/>
      <c r="B1" s="84" t="s">
        <v>219</v>
      </c>
      <c r="H1" s="85" t="s">
        <v>18</v>
      </c>
      <c r="I1" s="84"/>
      <c r="J1" s="84"/>
    </row>
    <row r="2" spans="2:10" s="87" customFormat="1" ht="25.5">
      <c r="B2" s="87" t="s">
        <v>19</v>
      </c>
      <c r="C2" s="87" t="s">
        <v>1</v>
      </c>
      <c r="D2" s="87" t="s">
        <v>2</v>
      </c>
      <c r="E2" s="87" t="s">
        <v>3</v>
      </c>
      <c r="F2" s="89" t="s">
        <v>4</v>
      </c>
      <c r="G2" s="87" t="s">
        <v>5</v>
      </c>
      <c r="I2" s="88"/>
      <c r="J2" s="88"/>
    </row>
    <row r="3" spans="2:7" s="84" customFormat="1" ht="12.75">
      <c r="B3" s="84" t="s">
        <v>106</v>
      </c>
      <c r="C3" s="91">
        <v>1.75</v>
      </c>
      <c r="D3" s="93"/>
      <c r="E3" s="93"/>
      <c r="F3" s="93">
        <f aca="true" t="shared" si="0" ref="F3:F17">SUM(C3:E3)</f>
        <v>1.75</v>
      </c>
      <c r="G3" s="96" t="s">
        <v>263</v>
      </c>
    </row>
    <row r="4" spans="2:7" ht="12.75">
      <c r="B4" s="84" t="s">
        <v>65</v>
      </c>
      <c r="C4" s="91">
        <v>9</v>
      </c>
      <c r="D4" s="119"/>
      <c r="E4" s="119">
        <v>7.5</v>
      </c>
      <c r="F4" s="93">
        <f t="shared" si="0"/>
        <v>16.5</v>
      </c>
      <c r="G4" s="113" t="s">
        <v>8</v>
      </c>
    </row>
    <row r="5" spans="1:10" ht="12.75">
      <c r="A5" s="84"/>
      <c r="B5" s="84" t="s">
        <v>141</v>
      </c>
      <c r="C5" s="91">
        <v>1.75</v>
      </c>
      <c r="D5" s="91"/>
      <c r="E5" s="91"/>
      <c r="F5" s="93">
        <f t="shared" si="0"/>
        <v>1.75</v>
      </c>
      <c r="G5" s="96" t="s">
        <v>263</v>
      </c>
      <c r="H5" s="84"/>
      <c r="I5" s="84"/>
      <c r="J5" s="84"/>
    </row>
    <row r="6" spans="1:10" ht="12.75">
      <c r="A6" s="84"/>
      <c r="B6" s="84" t="s">
        <v>33</v>
      </c>
      <c r="C6" s="91">
        <v>7</v>
      </c>
      <c r="D6" s="91"/>
      <c r="E6" s="91"/>
      <c r="F6" s="93">
        <f t="shared" si="0"/>
        <v>7</v>
      </c>
      <c r="G6" s="96" t="s">
        <v>66</v>
      </c>
      <c r="H6" s="84"/>
      <c r="I6" s="84"/>
      <c r="J6" s="84"/>
    </row>
    <row r="7" spans="2:7" ht="12.75">
      <c r="B7" s="84" t="s">
        <v>132</v>
      </c>
      <c r="C7" s="91">
        <v>1.75</v>
      </c>
      <c r="D7" s="91"/>
      <c r="E7" s="114"/>
      <c r="F7" s="93">
        <f t="shared" si="0"/>
        <v>1.75</v>
      </c>
      <c r="G7" s="96" t="s">
        <v>263</v>
      </c>
    </row>
    <row r="8" spans="2:7" ht="12.75">
      <c r="B8" s="84" t="s">
        <v>107</v>
      </c>
      <c r="C8" s="91" t="s">
        <v>7</v>
      </c>
      <c r="D8" s="91"/>
      <c r="E8" s="119">
        <v>7.5</v>
      </c>
      <c r="F8" s="93">
        <f t="shared" si="0"/>
        <v>7.5</v>
      </c>
      <c r="G8" s="96" t="s">
        <v>20</v>
      </c>
    </row>
    <row r="9" spans="2:7" ht="12.75">
      <c r="B9" s="84" t="s">
        <v>128</v>
      </c>
      <c r="C9" s="91">
        <v>1.75</v>
      </c>
      <c r="D9" s="91"/>
      <c r="E9" s="91">
        <v>0</v>
      </c>
      <c r="F9" s="93">
        <f t="shared" si="0"/>
        <v>1.75</v>
      </c>
      <c r="G9" s="96" t="s">
        <v>263</v>
      </c>
    </row>
    <row r="10" spans="2:7" ht="12.75">
      <c r="B10" s="84" t="s">
        <v>79</v>
      </c>
      <c r="C10" s="91"/>
      <c r="D10" s="91"/>
      <c r="E10" s="114">
        <v>6</v>
      </c>
      <c r="F10" s="93">
        <f t="shared" si="0"/>
        <v>6</v>
      </c>
      <c r="G10" s="96" t="s">
        <v>12</v>
      </c>
    </row>
    <row r="11" spans="2:7" ht="12.75">
      <c r="B11" s="84" t="s">
        <v>58</v>
      </c>
      <c r="C11" s="91">
        <v>5</v>
      </c>
      <c r="D11" s="91"/>
      <c r="E11" s="115"/>
      <c r="F11" s="93">
        <f t="shared" si="0"/>
        <v>5</v>
      </c>
      <c r="G11" s="96" t="s">
        <v>11</v>
      </c>
    </row>
    <row r="12" spans="2:7" s="84" customFormat="1" ht="12.75">
      <c r="B12" s="84" t="s">
        <v>36</v>
      </c>
      <c r="C12" s="93">
        <v>11</v>
      </c>
      <c r="D12" s="91"/>
      <c r="E12" s="91"/>
      <c r="F12" s="93">
        <f t="shared" si="0"/>
        <v>11</v>
      </c>
      <c r="G12" s="96" t="s">
        <v>21</v>
      </c>
    </row>
    <row r="13" spans="2:7" s="84" customFormat="1" ht="12.75">
      <c r="B13" s="84" t="s">
        <v>227</v>
      </c>
      <c r="C13" s="119">
        <v>22</v>
      </c>
      <c r="D13" s="91"/>
      <c r="E13" s="91"/>
      <c r="F13" s="119">
        <f t="shared" si="0"/>
        <v>22</v>
      </c>
      <c r="G13" s="120" t="s">
        <v>14</v>
      </c>
    </row>
    <row r="14" spans="1:10" ht="12.75">
      <c r="A14" s="84"/>
      <c r="B14" s="84" t="s">
        <v>51</v>
      </c>
      <c r="C14" s="93">
        <v>14</v>
      </c>
      <c r="D14" s="93"/>
      <c r="E14" s="91"/>
      <c r="F14" s="93">
        <f t="shared" si="0"/>
        <v>14</v>
      </c>
      <c r="G14" s="96" t="s">
        <v>13</v>
      </c>
      <c r="H14" s="84"/>
      <c r="I14" s="84"/>
      <c r="J14" s="84"/>
    </row>
    <row r="15" spans="1:10" s="84" customFormat="1" ht="12.75">
      <c r="A15" s="85"/>
      <c r="B15" s="84" t="s">
        <v>105</v>
      </c>
      <c r="C15" s="91">
        <v>8</v>
      </c>
      <c r="D15" s="119">
        <v>9</v>
      </c>
      <c r="E15" s="114"/>
      <c r="F15" s="93">
        <f t="shared" si="0"/>
        <v>17</v>
      </c>
      <c r="G15" s="113" t="s">
        <v>15</v>
      </c>
      <c r="H15" s="85"/>
      <c r="I15" s="85"/>
      <c r="J15" s="85"/>
    </row>
    <row r="16" spans="2:7" ht="12.75">
      <c r="B16" s="84" t="s">
        <v>129</v>
      </c>
      <c r="C16" s="91">
        <v>8</v>
      </c>
      <c r="D16" s="119">
        <v>8</v>
      </c>
      <c r="E16" s="115"/>
      <c r="F16" s="93">
        <f t="shared" si="0"/>
        <v>16</v>
      </c>
      <c r="G16" s="96" t="s">
        <v>10</v>
      </c>
    </row>
    <row r="17" spans="2:6" ht="12.75">
      <c r="B17" s="97" t="s">
        <v>16</v>
      </c>
      <c r="C17" s="100">
        <f>SUM(C3:C16)</f>
        <v>91</v>
      </c>
      <c r="D17" s="100">
        <f>SUM(D3:D16)</f>
        <v>17</v>
      </c>
      <c r="E17" s="100">
        <f>SUM(E3:E16)</f>
        <v>21</v>
      </c>
      <c r="F17" s="100">
        <f t="shared" si="0"/>
        <v>129</v>
      </c>
    </row>
    <row r="18" spans="2:7" s="97" customFormat="1" ht="12.75">
      <c r="B18" s="102"/>
      <c r="C18" s="116"/>
      <c r="D18" s="117" t="s">
        <v>7</v>
      </c>
      <c r="E18" s="97" t="s">
        <v>7</v>
      </c>
      <c r="F18" s="117"/>
      <c r="G18" s="118"/>
    </row>
    <row r="19" spans="1:5" ht="12.75">
      <c r="A19" s="85" t="s">
        <v>272</v>
      </c>
      <c r="D19" s="145" t="s">
        <v>264</v>
      </c>
      <c r="E19" s="145" t="s">
        <v>273</v>
      </c>
    </row>
  </sheetData>
  <sheetProtection selectLockedCells="1" selectUnlockedCells="1"/>
  <printOptions gridLines="1"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&amp;LTJ SOKOL Hradec Králové, atletický oddíl&amp;C&amp;"Arial Narrow,Tučné"Přehled bodujících závodnic v sezóně 2020&amp;R&amp;"Arial Narrow,Tučné"Ženy</oddHeader>
    <oddFooter>&amp;LHradec Králové, dne &amp;D (tisk)&amp;CList: &amp;F(&amp;A)&amp;RZpracoval: ing. Pavel Rytíř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2" sqref="G12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6" width="9.33203125" style="1" customWidth="1"/>
    <col min="7" max="7" width="10" style="2" customWidth="1"/>
    <col min="8" max="16384" width="9.33203125" style="1" customWidth="1"/>
  </cols>
  <sheetData>
    <row r="1" ht="12.75">
      <c r="A1" s="3" t="s">
        <v>156</v>
      </c>
    </row>
    <row r="2" spans="1:7" ht="23.25" customHeight="1">
      <c r="A2" s="4"/>
      <c r="B2" s="4" t="s">
        <v>0</v>
      </c>
      <c r="C2" s="4" t="s">
        <v>1</v>
      </c>
      <c r="D2" s="4" t="s">
        <v>2</v>
      </c>
      <c r="E2" s="4" t="s">
        <v>22</v>
      </c>
      <c r="F2" s="5" t="s">
        <v>4</v>
      </c>
      <c r="G2" s="4" t="s">
        <v>5</v>
      </c>
    </row>
    <row r="3" spans="2:7" ht="13.5">
      <c r="B3" s="76" t="s">
        <v>67</v>
      </c>
      <c r="C3" s="73">
        <v>22</v>
      </c>
      <c r="D3" s="34">
        <v>22</v>
      </c>
      <c r="E3" s="73">
        <v>19.5</v>
      </c>
      <c r="F3" s="81">
        <f aca="true" t="shared" si="0" ref="F3:F13">SUM(C3:E3)</f>
        <v>63.5</v>
      </c>
      <c r="G3" s="61" t="s">
        <v>14</v>
      </c>
    </row>
    <row r="4" spans="2:7" ht="13.5">
      <c r="B4" s="76" t="s">
        <v>42</v>
      </c>
      <c r="C4" s="74">
        <v>19</v>
      </c>
      <c r="D4" s="7">
        <v>8</v>
      </c>
      <c r="E4" s="6"/>
      <c r="F4" s="138">
        <f t="shared" si="0"/>
        <v>27</v>
      </c>
      <c r="G4" s="139" t="s">
        <v>20</v>
      </c>
    </row>
    <row r="5" spans="2:7" ht="12.75">
      <c r="B5" s="9" t="s">
        <v>112</v>
      </c>
      <c r="C5" s="6">
        <v>17</v>
      </c>
      <c r="D5" s="7">
        <v>11</v>
      </c>
      <c r="E5" s="6">
        <v>4</v>
      </c>
      <c r="F5" s="7">
        <f t="shared" si="0"/>
        <v>32</v>
      </c>
      <c r="G5" s="2" t="s">
        <v>13</v>
      </c>
    </row>
    <row r="6" spans="2:7" ht="13.5">
      <c r="B6" s="76" t="s">
        <v>254</v>
      </c>
      <c r="C6" s="74" t="s">
        <v>7</v>
      </c>
      <c r="D6" s="7">
        <v>6</v>
      </c>
      <c r="E6" s="6"/>
      <c r="F6" s="7">
        <f t="shared" si="0"/>
        <v>6</v>
      </c>
      <c r="G6" s="2" t="s">
        <v>11</v>
      </c>
    </row>
    <row r="7" spans="2:7" ht="13.5">
      <c r="B7" s="83" t="s">
        <v>154</v>
      </c>
      <c r="C7" s="74">
        <v>19</v>
      </c>
      <c r="D7" s="11">
        <v>18</v>
      </c>
      <c r="E7" s="6">
        <v>0.5</v>
      </c>
      <c r="F7" s="11">
        <f t="shared" si="0"/>
        <v>37.5</v>
      </c>
      <c r="G7" s="2" t="s">
        <v>10</v>
      </c>
    </row>
    <row r="8" spans="2:7" ht="13.5">
      <c r="B8" s="76" t="s">
        <v>111</v>
      </c>
      <c r="C8" s="74">
        <v>21</v>
      </c>
      <c r="D8" s="11">
        <v>19</v>
      </c>
      <c r="E8" s="74">
        <v>6</v>
      </c>
      <c r="F8" s="75">
        <f t="shared" si="0"/>
        <v>46</v>
      </c>
      <c r="G8" s="62" t="s">
        <v>15</v>
      </c>
    </row>
    <row r="9" spans="2:7" ht="12.75">
      <c r="B9" s="3" t="s">
        <v>24</v>
      </c>
      <c r="C9" s="6">
        <v>14</v>
      </c>
      <c r="D9" s="7">
        <v>13</v>
      </c>
      <c r="E9" s="6">
        <v>0.5</v>
      </c>
      <c r="F9" s="7">
        <f t="shared" si="0"/>
        <v>27.5</v>
      </c>
      <c r="G9" s="2" t="s">
        <v>21</v>
      </c>
    </row>
    <row r="10" spans="2:7" ht="13.5">
      <c r="B10" s="3" t="s">
        <v>85</v>
      </c>
      <c r="C10" s="6">
        <v>16</v>
      </c>
      <c r="D10" s="7">
        <v>17</v>
      </c>
      <c r="E10" s="74">
        <v>8.5</v>
      </c>
      <c r="F10" s="75">
        <f t="shared" si="0"/>
        <v>41.5</v>
      </c>
      <c r="G10" s="62" t="s">
        <v>8</v>
      </c>
    </row>
    <row r="11" spans="2:7" ht="12.75">
      <c r="B11" s="3" t="s">
        <v>68</v>
      </c>
      <c r="C11" s="6">
        <v>5</v>
      </c>
      <c r="D11" s="7"/>
      <c r="E11" s="6"/>
      <c r="F11" s="7">
        <f t="shared" si="0"/>
        <v>5</v>
      </c>
      <c r="G11" s="2" t="s">
        <v>9</v>
      </c>
    </row>
    <row r="12" spans="2:7" ht="13.5">
      <c r="B12" s="3" t="s">
        <v>253</v>
      </c>
      <c r="C12" s="6" t="s">
        <v>7</v>
      </c>
      <c r="D12" s="7">
        <v>17</v>
      </c>
      <c r="E12" s="74">
        <v>6</v>
      </c>
      <c r="F12" s="7">
        <f t="shared" si="0"/>
        <v>23</v>
      </c>
      <c r="G12" s="2" t="s">
        <v>66</v>
      </c>
    </row>
    <row r="13" spans="2:7" ht="12.75">
      <c r="B13" s="9" t="s">
        <v>155</v>
      </c>
      <c r="C13" s="6">
        <v>17</v>
      </c>
      <c r="D13" s="7"/>
      <c r="E13" s="6"/>
      <c r="F13" s="7">
        <f t="shared" si="0"/>
        <v>17</v>
      </c>
      <c r="G13" s="2" t="s">
        <v>12</v>
      </c>
    </row>
    <row r="14" spans="2:6" ht="10.5" customHeight="1">
      <c r="B14" s="14" t="s">
        <v>16</v>
      </c>
      <c r="C14" s="15">
        <f>SUM(C3:C13)</f>
        <v>150</v>
      </c>
      <c r="D14" s="15">
        <f>SUM(D3:D12)</f>
        <v>131</v>
      </c>
      <c r="E14" s="15">
        <f>SUM(E3:E12)</f>
        <v>45</v>
      </c>
      <c r="F14" s="42">
        <f>SUM(F3:F13)</f>
        <v>326</v>
      </c>
    </row>
    <row r="15" spans="2:6" ht="10.5" customHeight="1">
      <c r="B15" s="19" t="s">
        <v>7</v>
      </c>
      <c r="C15" s="16"/>
      <c r="D15" s="16"/>
      <c r="E15" s="16"/>
      <c r="F15" s="16"/>
    </row>
    <row r="16" spans="1:7" s="14" customFormat="1" ht="12" customHeight="1">
      <c r="A16" s="14" t="s">
        <v>274</v>
      </c>
      <c r="G16" s="18"/>
    </row>
    <row r="17" ht="12.75" hidden="1"/>
    <row r="18" spans="6:7" ht="12.75">
      <c r="F18" s="2"/>
      <c r="G18" s="1"/>
    </row>
    <row r="19" ht="13.5">
      <c r="B19" s="23"/>
    </row>
    <row r="20" ht="13.5">
      <c r="B20" s="23"/>
    </row>
    <row r="21" ht="13.5">
      <c r="B21" s="23"/>
    </row>
    <row r="22" spans="2:7" ht="13.5">
      <c r="B22" s="23"/>
      <c r="G22" s="2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Narrow,Tučné"Junioři</oddHeader>
    <oddFooter>&amp;LHradec Králové, &amp;D (tisk)&amp;CList &amp;F (&amp;A)&amp;RSestavil ing. Pavel Rytíř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">
      <selection activeCell="K22" sqref="K22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6" width="9.33203125" style="1" customWidth="1"/>
    <col min="7" max="7" width="10" style="4" customWidth="1"/>
    <col min="8" max="16384" width="9.33203125" style="1" customWidth="1"/>
  </cols>
  <sheetData>
    <row r="1" ht="12.75">
      <c r="A1" s="3" t="s">
        <v>276</v>
      </c>
    </row>
    <row r="2" spans="1:7" ht="24" customHeight="1">
      <c r="A2" s="4"/>
      <c r="B2" s="4" t="s">
        <v>0</v>
      </c>
      <c r="C2" s="4" t="s">
        <v>1</v>
      </c>
      <c r="D2" s="4" t="s">
        <v>2</v>
      </c>
      <c r="E2" s="121" t="s">
        <v>22</v>
      </c>
      <c r="F2" s="5" t="s">
        <v>4</v>
      </c>
      <c r="G2" s="4" t="s">
        <v>5</v>
      </c>
    </row>
    <row r="3" spans="2:7" ht="12.75">
      <c r="B3" s="3" t="s">
        <v>28</v>
      </c>
      <c r="C3" s="6">
        <v>16.75</v>
      </c>
      <c r="D3" s="7">
        <f>14+2.25</f>
        <v>16.25</v>
      </c>
      <c r="E3" s="35"/>
      <c r="F3" s="11">
        <f aca="true" t="shared" si="0" ref="F3:F14">SUM(C3:E3)</f>
        <v>33</v>
      </c>
      <c r="G3" s="4" t="s">
        <v>13</v>
      </c>
    </row>
    <row r="4" spans="1:8" ht="12.75">
      <c r="A4" s="38" t="s">
        <v>277</v>
      </c>
      <c r="B4" s="36" t="s">
        <v>89</v>
      </c>
      <c r="C4" s="47">
        <v>6</v>
      </c>
      <c r="D4" s="46" t="s">
        <v>7</v>
      </c>
      <c r="E4" s="122"/>
      <c r="F4" s="48">
        <f t="shared" si="0"/>
        <v>6</v>
      </c>
      <c r="G4" s="78" t="s">
        <v>252</v>
      </c>
      <c r="H4" s="38"/>
    </row>
    <row r="5" spans="2:7" ht="13.5">
      <c r="B5" s="76" t="s">
        <v>29</v>
      </c>
      <c r="C5" s="74">
        <v>22</v>
      </c>
      <c r="D5" s="7">
        <v>11</v>
      </c>
      <c r="E5" s="146">
        <v>9</v>
      </c>
      <c r="F5" s="75">
        <f t="shared" si="0"/>
        <v>42</v>
      </c>
      <c r="G5" s="137" t="s">
        <v>10</v>
      </c>
    </row>
    <row r="6" spans="1:8" ht="12.75">
      <c r="A6" s="38" t="s">
        <v>278</v>
      </c>
      <c r="B6" s="36" t="s">
        <v>250</v>
      </c>
      <c r="C6" s="47"/>
      <c r="D6" s="46">
        <f>6+2.75</f>
        <v>8.75</v>
      </c>
      <c r="E6" s="122"/>
      <c r="F6" s="48">
        <f t="shared" si="0"/>
        <v>8.75</v>
      </c>
      <c r="G6" s="78" t="s">
        <v>9</v>
      </c>
      <c r="H6" s="38"/>
    </row>
    <row r="7" spans="1:8" ht="12.75">
      <c r="A7" s="38" t="s">
        <v>277</v>
      </c>
      <c r="B7" s="36" t="s">
        <v>149</v>
      </c>
      <c r="C7" s="47">
        <v>14</v>
      </c>
      <c r="D7" s="46"/>
      <c r="E7" s="122"/>
      <c r="F7" s="48">
        <f t="shared" si="0"/>
        <v>14</v>
      </c>
      <c r="G7" s="78" t="s">
        <v>11</v>
      </c>
      <c r="H7" s="38"/>
    </row>
    <row r="8" spans="2:7" ht="12.75">
      <c r="B8" s="3" t="s">
        <v>110</v>
      </c>
      <c r="C8" s="6">
        <v>3.75</v>
      </c>
      <c r="D8" s="7">
        <v>11</v>
      </c>
      <c r="E8" s="35"/>
      <c r="F8" s="11">
        <f t="shared" si="0"/>
        <v>14.75</v>
      </c>
      <c r="G8" s="4" t="s">
        <v>12</v>
      </c>
    </row>
    <row r="9" spans="1:8" ht="12.75">
      <c r="A9" s="38" t="s">
        <v>278</v>
      </c>
      <c r="B9" s="36" t="s">
        <v>221</v>
      </c>
      <c r="C9" s="47"/>
      <c r="D9" s="46">
        <v>2.75</v>
      </c>
      <c r="E9" s="122"/>
      <c r="F9" s="48">
        <f t="shared" si="0"/>
        <v>2.75</v>
      </c>
      <c r="G9" s="78" t="s">
        <v>211</v>
      </c>
      <c r="H9" s="38"/>
    </row>
    <row r="10" spans="1:8" ht="12.75">
      <c r="A10" s="38" t="s">
        <v>277</v>
      </c>
      <c r="B10" s="36" t="s">
        <v>141</v>
      </c>
      <c r="C10" s="47">
        <v>7.25</v>
      </c>
      <c r="D10" s="46"/>
      <c r="E10" s="122"/>
      <c r="F10" s="48">
        <f t="shared" si="0"/>
        <v>7.25</v>
      </c>
      <c r="G10" s="78" t="s">
        <v>109</v>
      </c>
      <c r="H10" s="38"/>
    </row>
    <row r="11" spans="1:8" ht="12.75">
      <c r="A11" s="38" t="s">
        <v>278</v>
      </c>
      <c r="B11" s="36" t="s">
        <v>59</v>
      </c>
      <c r="C11" s="47"/>
      <c r="D11" s="46">
        <v>2.75</v>
      </c>
      <c r="E11" s="122"/>
      <c r="F11" s="48">
        <f t="shared" si="0"/>
        <v>2.75</v>
      </c>
      <c r="G11" s="78" t="s">
        <v>211</v>
      </c>
      <c r="H11" s="38"/>
    </row>
    <row r="12" spans="2:7" ht="13.5">
      <c r="B12" s="3" t="s">
        <v>69</v>
      </c>
      <c r="C12" s="6">
        <v>19</v>
      </c>
      <c r="D12" s="75">
        <f>20+2.25</f>
        <v>22.25</v>
      </c>
      <c r="E12" s="35">
        <v>1</v>
      </c>
      <c r="F12" s="75">
        <f t="shared" si="0"/>
        <v>42.25</v>
      </c>
      <c r="G12" s="80" t="s">
        <v>8</v>
      </c>
    </row>
    <row r="13" spans="1:8" ht="12.75">
      <c r="A13" s="38" t="s">
        <v>278</v>
      </c>
      <c r="B13" s="36" t="s">
        <v>75</v>
      </c>
      <c r="C13" s="47"/>
      <c r="D13" s="46">
        <v>6</v>
      </c>
      <c r="E13" s="122"/>
      <c r="F13" s="48">
        <f t="shared" si="0"/>
        <v>6</v>
      </c>
      <c r="G13" s="78" t="s">
        <v>252</v>
      </c>
      <c r="H13" s="38"/>
    </row>
    <row r="14" spans="1:8" ht="12.75">
      <c r="A14" s="38" t="s">
        <v>277</v>
      </c>
      <c r="B14" s="36" t="s">
        <v>140</v>
      </c>
      <c r="C14" s="47">
        <v>1</v>
      </c>
      <c r="D14" s="46"/>
      <c r="E14" s="122"/>
      <c r="F14" s="48">
        <f t="shared" si="0"/>
        <v>1</v>
      </c>
      <c r="G14" s="78" t="s">
        <v>185</v>
      </c>
      <c r="H14" s="38"/>
    </row>
    <row r="15" spans="1:8" s="38" customFormat="1" ht="13.5" customHeight="1">
      <c r="A15" s="38" t="s">
        <v>277</v>
      </c>
      <c r="B15" s="3" t="s">
        <v>32</v>
      </c>
      <c r="C15" s="6">
        <v>4.25</v>
      </c>
      <c r="D15" s="7"/>
      <c r="E15" s="35"/>
      <c r="F15" s="11">
        <f>SUM(A15:E15)</f>
        <v>4.25</v>
      </c>
      <c r="G15" s="79" t="s">
        <v>182</v>
      </c>
      <c r="H15" s="1"/>
    </row>
    <row r="16" spans="1:8" ht="12.75">
      <c r="A16" s="38" t="s">
        <v>278</v>
      </c>
      <c r="B16" s="36" t="s">
        <v>131</v>
      </c>
      <c r="C16" s="47"/>
      <c r="D16" s="46">
        <v>6</v>
      </c>
      <c r="E16" s="122"/>
      <c r="F16" s="48">
        <f>SUM(C16:E16)</f>
        <v>6</v>
      </c>
      <c r="G16" s="78" t="s">
        <v>252</v>
      </c>
      <c r="H16" s="38"/>
    </row>
    <row r="17" spans="1:7" s="38" customFormat="1" ht="13.5" customHeight="1">
      <c r="A17" s="38" t="s">
        <v>277</v>
      </c>
      <c r="B17" s="36" t="s">
        <v>137</v>
      </c>
      <c r="C17" s="47">
        <v>6.75</v>
      </c>
      <c r="D17" s="46"/>
      <c r="E17" s="122"/>
      <c r="F17" s="48">
        <f>SUM(C17:E17)</f>
        <v>6.75</v>
      </c>
      <c r="G17" s="78" t="s">
        <v>251</v>
      </c>
    </row>
    <row r="18" spans="1:8" s="38" customFormat="1" ht="13.5" customHeight="1">
      <c r="A18" s="38" t="s">
        <v>277</v>
      </c>
      <c r="B18" s="3" t="s">
        <v>79</v>
      </c>
      <c r="C18" s="6">
        <v>6.25</v>
      </c>
      <c r="D18" s="7">
        <f>9+2.25</f>
        <v>11.25</v>
      </c>
      <c r="E18" s="35"/>
      <c r="F18" s="11">
        <f>SUM(A18:E18)</f>
        <v>17.5</v>
      </c>
      <c r="G18" s="79" t="s">
        <v>66</v>
      </c>
      <c r="H18" s="1"/>
    </row>
    <row r="19" spans="1:7" s="38" customFormat="1" ht="13.5" customHeight="1">
      <c r="A19" s="38" t="s">
        <v>152</v>
      </c>
      <c r="B19" s="36" t="s">
        <v>58</v>
      </c>
      <c r="C19" s="47">
        <v>8.25</v>
      </c>
      <c r="D19" s="46"/>
      <c r="E19" s="122"/>
      <c r="F19" s="48">
        <f aca="true" t="shared" si="1" ref="F19:F24">SUM(C19:E19)</f>
        <v>8.25</v>
      </c>
      <c r="G19" s="78" t="s">
        <v>98</v>
      </c>
    </row>
    <row r="20" spans="1:8" s="38" customFormat="1" ht="13.5" customHeight="1">
      <c r="A20" s="1"/>
      <c r="B20" s="3" t="s">
        <v>151</v>
      </c>
      <c r="C20" s="6">
        <v>9</v>
      </c>
      <c r="D20" s="7">
        <v>19</v>
      </c>
      <c r="E20" s="35">
        <v>1</v>
      </c>
      <c r="F20" s="11">
        <f t="shared" si="1"/>
        <v>29</v>
      </c>
      <c r="G20" s="4" t="s">
        <v>21</v>
      </c>
      <c r="H20" s="1"/>
    </row>
    <row r="21" spans="1:8" s="38" customFormat="1" ht="13.5" customHeight="1">
      <c r="A21" s="1"/>
      <c r="B21" s="76" t="s">
        <v>70</v>
      </c>
      <c r="C21" s="74">
        <v>24</v>
      </c>
      <c r="D21" s="75">
        <v>28</v>
      </c>
      <c r="E21" s="146">
        <v>5</v>
      </c>
      <c r="F21" s="75">
        <f t="shared" si="1"/>
        <v>57</v>
      </c>
      <c r="G21" s="80" t="s">
        <v>15</v>
      </c>
      <c r="H21" s="1"/>
    </row>
    <row r="22" spans="1:8" s="38" customFormat="1" ht="13.5" customHeight="1">
      <c r="A22" s="1"/>
      <c r="B22" s="3" t="s">
        <v>25</v>
      </c>
      <c r="C22" s="6">
        <v>9.75</v>
      </c>
      <c r="D22" s="7">
        <f>12+2.25</f>
        <v>14.25</v>
      </c>
      <c r="E22" s="35"/>
      <c r="F22" s="11">
        <f t="shared" si="1"/>
        <v>24</v>
      </c>
      <c r="G22" s="4" t="s">
        <v>20</v>
      </c>
      <c r="H22" s="1"/>
    </row>
    <row r="23" spans="1:8" s="38" customFormat="1" ht="13.5" customHeight="1">
      <c r="A23" s="1"/>
      <c r="B23" s="76" t="s">
        <v>103</v>
      </c>
      <c r="C23" s="73">
        <v>26</v>
      </c>
      <c r="D23" s="81">
        <v>29</v>
      </c>
      <c r="E23" s="147">
        <v>15</v>
      </c>
      <c r="F23" s="81">
        <f t="shared" si="1"/>
        <v>70</v>
      </c>
      <c r="G23" s="82" t="s">
        <v>14</v>
      </c>
      <c r="H23" s="1"/>
    </row>
    <row r="24" spans="1:8" ht="12.75">
      <c r="A24" s="38" t="s">
        <v>278</v>
      </c>
      <c r="B24" s="36" t="s">
        <v>76</v>
      </c>
      <c r="C24" s="47"/>
      <c r="D24" s="46">
        <f>4+2.75</f>
        <v>6.75</v>
      </c>
      <c r="E24" s="122"/>
      <c r="F24" s="48">
        <f t="shared" si="1"/>
        <v>6.75</v>
      </c>
      <c r="G24" s="78" t="s">
        <v>251</v>
      </c>
      <c r="H24" s="38"/>
    </row>
    <row r="25" spans="2:6" ht="10.5" customHeight="1">
      <c r="B25" s="14" t="s">
        <v>16</v>
      </c>
      <c r="C25" s="15">
        <f>SUM(C3:C23)</f>
        <v>184</v>
      </c>
      <c r="D25" s="15">
        <f>SUM(D3:D24)</f>
        <v>195</v>
      </c>
      <c r="E25" s="123">
        <f>SUM(E3:E14)</f>
        <v>10</v>
      </c>
      <c r="F25" s="10">
        <f>SUM(F3:F23)</f>
        <v>403.25</v>
      </c>
    </row>
    <row r="26" spans="2:5" ht="10.5" customHeight="1">
      <c r="B26" s="19" t="s">
        <v>7</v>
      </c>
      <c r="C26" s="16"/>
      <c r="D26" s="16"/>
      <c r="E26" s="16" t="s">
        <v>7</v>
      </c>
    </row>
    <row r="27" spans="1:7" s="14" customFormat="1" ht="12" customHeight="1">
      <c r="A27" s="14" t="s">
        <v>275</v>
      </c>
      <c r="G27" s="64"/>
    </row>
    <row r="28" ht="12.75" hidden="1"/>
    <row r="29" spans="4:5" ht="13.5">
      <c r="D29" s="1" t="s">
        <v>7</v>
      </c>
      <c r="E29" s="23"/>
    </row>
    <row r="30" ht="13.5">
      <c r="B30" s="23"/>
    </row>
    <row r="31" ht="13.5">
      <c r="B31" s="23"/>
    </row>
    <row r="32" ht="13.5">
      <c r="B32" s="23"/>
    </row>
    <row r="33" spans="2:7" ht="13.5">
      <c r="B33" s="23"/>
      <c r="G33" s="4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závodnic v sezóně 2020&amp;R&amp;"Arial Narrow,Tučné"Junioři</oddHeader>
    <oddFooter>&amp;LHradec Králové, &amp;D (tisk)&amp;CList &amp;F (&amp;A)&amp;RSestavil ing. Pavel Rytíř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F7" sqref="F7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7" width="9.33203125" style="1" customWidth="1"/>
    <col min="8" max="8" width="10" style="2" customWidth="1"/>
    <col min="9" max="16384" width="9.33203125" style="1" customWidth="1"/>
  </cols>
  <sheetData>
    <row r="1" spans="1:14" ht="12.75">
      <c r="A1" s="3" t="s">
        <v>163</v>
      </c>
      <c r="N1" s="1" t="s">
        <v>6</v>
      </c>
    </row>
    <row r="2" spans="1:8" ht="24" customHeight="1">
      <c r="A2" s="4"/>
      <c r="B2" s="4" t="s">
        <v>0</v>
      </c>
      <c r="C2" s="4" t="s">
        <v>1</v>
      </c>
      <c r="D2" s="4" t="s">
        <v>2</v>
      </c>
      <c r="E2" s="159" t="s">
        <v>22</v>
      </c>
      <c r="F2" s="159" t="s">
        <v>138</v>
      </c>
      <c r="G2" s="5" t="s">
        <v>4</v>
      </c>
      <c r="H2" s="4" t="s">
        <v>5</v>
      </c>
    </row>
    <row r="3" spans="2:8" ht="12.75">
      <c r="B3" s="3" t="s">
        <v>280</v>
      </c>
      <c r="C3" s="6" t="s">
        <v>7</v>
      </c>
      <c r="D3" s="7"/>
      <c r="E3" s="160" t="s">
        <v>7</v>
      </c>
      <c r="F3" s="160">
        <v>3</v>
      </c>
      <c r="G3" s="7">
        <f aca="true" t="shared" si="0" ref="G3:G27">SUM(C3:F3)</f>
        <v>3</v>
      </c>
      <c r="H3" s="2" t="s">
        <v>210</v>
      </c>
    </row>
    <row r="4" spans="2:8" ht="12.75">
      <c r="B4" s="3" t="s">
        <v>108</v>
      </c>
      <c r="C4" s="6">
        <v>9</v>
      </c>
      <c r="D4" s="7"/>
      <c r="E4" s="160">
        <v>1</v>
      </c>
      <c r="F4" s="160">
        <v>0.5</v>
      </c>
      <c r="G4" s="7">
        <f t="shared" si="0"/>
        <v>10.5</v>
      </c>
      <c r="H4" s="2" t="s">
        <v>113</v>
      </c>
    </row>
    <row r="5" spans="2:9" ht="12.75">
      <c r="B5" s="9" t="s">
        <v>295</v>
      </c>
      <c r="C5" s="6">
        <v>15</v>
      </c>
      <c r="D5" s="7"/>
      <c r="E5" s="160"/>
      <c r="F5" s="160"/>
      <c r="G5" s="7">
        <f t="shared" si="0"/>
        <v>15</v>
      </c>
      <c r="H5" s="52" t="s">
        <v>98</v>
      </c>
      <c r="I5" s="2"/>
    </row>
    <row r="6" spans="2:9" ht="12.75">
      <c r="B6" s="9" t="s">
        <v>159</v>
      </c>
      <c r="C6" s="6">
        <v>15</v>
      </c>
      <c r="D6" s="7">
        <f>6+2.75</f>
        <v>8.75</v>
      </c>
      <c r="E6" s="160">
        <f>3+1.25+2.75</f>
        <v>7</v>
      </c>
      <c r="F6" s="160">
        <v>1</v>
      </c>
      <c r="G6" s="7">
        <f t="shared" si="0"/>
        <v>31.75</v>
      </c>
      <c r="H6" s="52" t="s">
        <v>21</v>
      </c>
      <c r="I6" s="2"/>
    </row>
    <row r="7" spans="1:23" s="29" customFormat="1" ht="13.5">
      <c r="A7" s="1"/>
      <c r="B7" s="3" t="s">
        <v>246</v>
      </c>
      <c r="C7" s="6" t="s">
        <v>7</v>
      </c>
      <c r="D7" s="75">
        <v>29</v>
      </c>
      <c r="E7" s="164">
        <v>17</v>
      </c>
      <c r="F7" s="164">
        <v>18</v>
      </c>
      <c r="G7" s="75">
        <f t="shared" si="0"/>
        <v>64</v>
      </c>
      <c r="H7" s="62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29" customFormat="1" ht="12.75">
      <c r="A8" s="1"/>
      <c r="B8" s="3" t="s">
        <v>160</v>
      </c>
      <c r="C8" s="6">
        <v>11</v>
      </c>
      <c r="D8" s="7">
        <v>6</v>
      </c>
      <c r="E8" s="160">
        <v>1</v>
      </c>
      <c r="F8" s="160">
        <v>0.5</v>
      </c>
      <c r="G8" s="7">
        <f t="shared" si="0"/>
        <v>18.5</v>
      </c>
      <c r="H8" s="2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29" customFormat="1" ht="12.75">
      <c r="A9" s="1"/>
      <c r="B9" s="3" t="s">
        <v>254</v>
      </c>
      <c r="C9" s="6" t="s">
        <v>7</v>
      </c>
      <c r="D9" s="7" t="s">
        <v>7</v>
      </c>
      <c r="E9" s="160">
        <v>1</v>
      </c>
      <c r="F9" s="160">
        <v>1</v>
      </c>
      <c r="G9" s="7">
        <f t="shared" si="0"/>
        <v>2</v>
      </c>
      <c r="H9" s="2" t="s">
        <v>297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8" ht="12.75">
      <c r="B10" s="3" t="s">
        <v>83</v>
      </c>
      <c r="C10" s="6" t="s">
        <v>7</v>
      </c>
      <c r="D10" s="7"/>
      <c r="E10" s="160" t="s">
        <v>7</v>
      </c>
      <c r="F10" s="160">
        <v>0</v>
      </c>
      <c r="G10" s="7">
        <f t="shared" si="0"/>
        <v>0</v>
      </c>
      <c r="H10" s="2" t="s">
        <v>187</v>
      </c>
    </row>
    <row r="11" spans="1:23" s="29" customFormat="1" ht="12.75">
      <c r="A11" s="1"/>
      <c r="B11" s="9" t="s">
        <v>247</v>
      </c>
      <c r="C11" s="6"/>
      <c r="D11" s="7">
        <v>7</v>
      </c>
      <c r="E11" s="160"/>
      <c r="F11" s="160"/>
      <c r="G11" s="7">
        <f t="shared" si="0"/>
        <v>7</v>
      </c>
      <c r="H11" s="2" t="s">
        <v>209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29" customFormat="1" ht="12.75">
      <c r="A12" s="1"/>
      <c r="B12" s="3" t="s">
        <v>286</v>
      </c>
      <c r="C12" s="6" t="s">
        <v>7</v>
      </c>
      <c r="D12" s="7" t="s">
        <v>7</v>
      </c>
      <c r="E12" s="160">
        <v>1</v>
      </c>
      <c r="F12" s="160">
        <v>0.5</v>
      </c>
      <c r="G12" s="7">
        <f t="shared" si="0"/>
        <v>1.5</v>
      </c>
      <c r="H12" s="2" t="s">
        <v>186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8" ht="12.75">
      <c r="B13" s="3" t="s">
        <v>34</v>
      </c>
      <c r="C13" s="6">
        <v>8</v>
      </c>
      <c r="D13" s="7">
        <v>11</v>
      </c>
      <c r="E13" s="160">
        <v>1.25</v>
      </c>
      <c r="F13" s="160">
        <v>1</v>
      </c>
      <c r="G13" s="7">
        <f t="shared" si="0"/>
        <v>21.25</v>
      </c>
      <c r="H13" s="2" t="s">
        <v>66</v>
      </c>
    </row>
    <row r="14" spans="1:23" s="29" customFormat="1" ht="12.75">
      <c r="A14" s="1"/>
      <c r="B14" s="3" t="s">
        <v>285</v>
      </c>
      <c r="C14" s="6" t="s">
        <v>7</v>
      </c>
      <c r="D14" s="7" t="s">
        <v>7</v>
      </c>
      <c r="E14" s="160">
        <v>2</v>
      </c>
      <c r="F14" s="160">
        <v>0</v>
      </c>
      <c r="G14" s="7">
        <f t="shared" si="0"/>
        <v>2</v>
      </c>
      <c r="H14" s="2" t="s">
        <v>297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9" ht="13.5">
      <c r="B15" s="3" t="s">
        <v>26</v>
      </c>
      <c r="C15" s="73">
        <v>24</v>
      </c>
      <c r="D15" s="7">
        <v>16</v>
      </c>
      <c r="E15" s="160">
        <v>9.5</v>
      </c>
      <c r="F15" s="160">
        <v>0</v>
      </c>
      <c r="G15" s="7">
        <f t="shared" si="0"/>
        <v>49.5</v>
      </c>
      <c r="H15" s="140" t="s">
        <v>13</v>
      </c>
      <c r="I15" s="2"/>
    </row>
    <row r="16" spans="2:8" ht="13.5">
      <c r="B16" s="3" t="s">
        <v>27</v>
      </c>
      <c r="C16" s="6">
        <v>17</v>
      </c>
      <c r="D16" s="81">
        <v>30</v>
      </c>
      <c r="E16" s="160">
        <v>12</v>
      </c>
      <c r="F16" s="160">
        <f>6+1.75</f>
        <v>7.75</v>
      </c>
      <c r="G16" s="75">
        <f t="shared" si="0"/>
        <v>66.75</v>
      </c>
      <c r="H16" s="62" t="s">
        <v>15</v>
      </c>
    </row>
    <row r="17" spans="2:8" ht="12.75">
      <c r="B17" s="3" t="s">
        <v>48</v>
      </c>
      <c r="C17" s="6" t="s">
        <v>7</v>
      </c>
      <c r="D17" s="7">
        <v>8</v>
      </c>
      <c r="E17" s="160"/>
      <c r="F17" s="160">
        <v>0.5</v>
      </c>
      <c r="G17" s="7">
        <f t="shared" si="0"/>
        <v>8.5</v>
      </c>
      <c r="H17" s="2" t="s">
        <v>99</v>
      </c>
    </row>
    <row r="18" spans="1:23" s="29" customFormat="1" ht="13.5">
      <c r="A18" s="1"/>
      <c r="B18" s="83" t="s">
        <v>158</v>
      </c>
      <c r="C18" s="74">
        <v>18</v>
      </c>
      <c r="D18" s="7">
        <f>9+2.75</f>
        <v>11.75</v>
      </c>
      <c r="E18" s="164">
        <f>16+2.75</f>
        <v>18.75</v>
      </c>
      <c r="F18" s="160">
        <v>5</v>
      </c>
      <c r="G18" s="7">
        <f t="shared" si="0"/>
        <v>53.5</v>
      </c>
      <c r="H18" s="140" t="s">
        <v>10</v>
      </c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29" customFormat="1" ht="12.75">
      <c r="A19" s="1"/>
      <c r="B19" s="3" t="s">
        <v>86</v>
      </c>
      <c r="C19" s="6" t="s">
        <v>7</v>
      </c>
      <c r="D19" s="7">
        <v>8</v>
      </c>
      <c r="E19" s="160" t="s">
        <v>7</v>
      </c>
      <c r="F19" s="160">
        <v>1.75</v>
      </c>
      <c r="G19" s="7">
        <f t="shared" si="0"/>
        <v>9.75</v>
      </c>
      <c r="H19" s="2" t="s">
        <v>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9" ht="12.75">
      <c r="B20" s="9" t="s">
        <v>161</v>
      </c>
      <c r="C20" s="6">
        <v>9</v>
      </c>
      <c r="D20" s="7">
        <f>7+2.75</f>
        <v>9.75</v>
      </c>
      <c r="E20" s="160">
        <f>1.25+2.75</f>
        <v>4</v>
      </c>
      <c r="F20" s="160"/>
      <c r="G20" s="7">
        <f t="shared" si="0"/>
        <v>22.75</v>
      </c>
      <c r="H20" s="52" t="s">
        <v>20</v>
      </c>
      <c r="I20" s="2"/>
    </row>
    <row r="21" spans="2:9" ht="12.75">
      <c r="B21" s="9" t="s">
        <v>162</v>
      </c>
      <c r="C21" s="6">
        <v>5</v>
      </c>
      <c r="D21" s="7">
        <v>11</v>
      </c>
      <c r="E21" s="160">
        <v>1.25</v>
      </c>
      <c r="F21" s="160">
        <v>1</v>
      </c>
      <c r="G21" s="7">
        <f t="shared" si="0"/>
        <v>18.25</v>
      </c>
      <c r="H21" s="52" t="s">
        <v>9</v>
      </c>
      <c r="I21" s="2"/>
    </row>
    <row r="22" spans="2:9" ht="13.5">
      <c r="B22" s="83" t="s">
        <v>157</v>
      </c>
      <c r="C22" s="74">
        <v>22</v>
      </c>
      <c r="D22" s="11">
        <f>20+2.75</f>
        <v>22.75</v>
      </c>
      <c r="E22" s="163">
        <f>19+2.75</f>
        <v>21.75</v>
      </c>
      <c r="F22" s="172">
        <f>18+1.75</f>
        <v>19.75</v>
      </c>
      <c r="G22" s="81">
        <f t="shared" si="0"/>
        <v>86.25</v>
      </c>
      <c r="H22" s="162" t="s">
        <v>14</v>
      </c>
      <c r="I22" s="2"/>
    </row>
    <row r="23" spans="1:23" s="29" customFormat="1" ht="12.75">
      <c r="A23" s="1"/>
      <c r="B23" s="3" t="s">
        <v>284</v>
      </c>
      <c r="C23" s="6" t="s">
        <v>7</v>
      </c>
      <c r="D23" s="7" t="s">
        <v>7</v>
      </c>
      <c r="E23" s="160">
        <v>10</v>
      </c>
      <c r="F23" s="160">
        <v>4</v>
      </c>
      <c r="G23" s="7">
        <f t="shared" si="0"/>
        <v>14</v>
      </c>
      <c r="H23" s="2" t="s">
        <v>109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8" ht="12.75">
      <c r="B24" s="9" t="s">
        <v>296</v>
      </c>
      <c r="C24" s="6" t="s">
        <v>7</v>
      </c>
      <c r="D24" s="7"/>
      <c r="E24" s="160" t="s">
        <v>7</v>
      </c>
      <c r="F24" s="160">
        <v>2</v>
      </c>
      <c r="G24" s="7">
        <f t="shared" si="0"/>
        <v>2</v>
      </c>
      <c r="H24" s="2" t="s">
        <v>297</v>
      </c>
    </row>
    <row r="25" spans="1:23" s="29" customFormat="1" ht="12.75">
      <c r="A25" s="1"/>
      <c r="B25" s="3" t="s">
        <v>287</v>
      </c>
      <c r="C25" s="6" t="s">
        <v>7</v>
      </c>
      <c r="D25" s="7" t="s">
        <v>7</v>
      </c>
      <c r="E25" s="160">
        <v>2</v>
      </c>
      <c r="F25" s="160"/>
      <c r="G25" s="7">
        <f t="shared" si="0"/>
        <v>2</v>
      </c>
      <c r="H25" s="2" t="s">
        <v>297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9" ht="13.5">
      <c r="B26" s="83" t="s">
        <v>283</v>
      </c>
      <c r="C26" s="74" t="s">
        <v>7</v>
      </c>
      <c r="D26" s="11" t="s">
        <v>7</v>
      </c>
      <c r="E26" s="160">
        <v>11</v>
      </c>
      <c r="F26" s="164">
        <f>7+1.75</f>
        <v>8.75</v>
      </c>
      <c r="G26" s="7">
        <f t="shared" si="0"/>
        <v>19.75</v>
      </c>
      <c r="H26" s="52" t="s">
        <v>12</v>
      </c>
      <c r="I26" s="2"/>
    </row>
    <row r="27" spans="2:7" ht="12.75" customHeight="1">
      <c r="B27" s="14" t="s">
        <v>16</v>
      </c>
      <c r="C27" s="15">
        <f>SUM(C3:C26)</f>
        <v>153</v>
      </c>
      <c r="D27" s="15">
        <f>SUM(D3:D26)</f>
        <v>179</v>
      </c>
      <c r="E27" s="161">
        <f>SUM(E3:E26)</f>
        <v>121.5</v>
      </c>
      <c r="F27" s="161">
        <f>SUM(F3:F26)</f>
        <v>76</v>
      </c>
      <c r="G27" s="42">
        <f t="shared" si="0"/>
        <v>529.5</v>
      </c>
    </row>
    <row r="28" spans="2:7" ht="10.5" customHeight="1">
      <c r="B28" s="19" t="s">
        <v>7</v>
      </c>
      <c r="C28" s="16"/>
      <c r="D28" s="16"/>
      <c r="E28" s="22"/>
      <c r="F28" s="22"/>
      <c r="G28" s="16"/>
    </row>
    <row r="29" ht="12" customHeight="1">
      <c r="A29" s="14" t="s">
        <v>294</v>
      </c>
    </row>
    <row r="30" ht="12.75" hidden="1"/>
    <row r="31" ht="13.5">
      <c r="B31" s="23"/>
    </row>
    <row r="32" ht="13.5">
      <c r="B32" s="23"/>
    </row>
    <row r="33" ht="13.5">
      <c r="B33" s="23"/>
    </row>
    <row r="34" spans="2:8" ht="13.5">
      <c r="B34" s="23"/>
      <c r="H34" s="2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Narrow,Tučné"Dorostenci</oddHeader>
    <oddFooter>&amp;LHradec Králové, &amp;D (tisk)&amp;CList &amp;F (&amp;A)&amp;RSestavil ing. Pavel Rytíř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28" sqref="E28"/>
    </sheetView>
  </sheetViews>
  <sheetFormatPr defaultColWidth="9.33203125" defaultRowHeight="12.75"/>
  <cols>
    <col min="1" max="1" width="14.16015625" style="38" customWidth="1"/>
    <col min="2" max="2" width="27.83203125" style="65" customWidth="1"/>
    <col min="3" max="5" width="9.5" style="38" bestFit="1" customWidth="1"/>
    <col min="6" max="6" width="9.66015625" style="38" bestFit="1" customWidth="1"/>
    <col min="7" max="7" width="9.33203125" style="38" customWidth="1"/>
    <col min="8" max="8" width="9.33203125" style="4" customWidth="1"/>
    <col min="9" max="16384" width="9.33203125" style="38" customWidth="1"/>
  </cols>
  <sheetData>
    <row r="1" ht="12.75">
      <c r="A1" s="36" t="s">
        <v>233</v>
      </c>
    </row>
    <row r="2" spans="1:8" ht="24" customHeight="1">
      <c r="A2" s="4" t="s">
        <v>234</v>
      </c>
      <c r="B2" s="25" t="s">
        <v>0</v>
      </c>
      <c r="C2" s="25" t="s">
        <v>1</v>
      </c>
      <c r="D2" s="25" t="s">
        <v>2</v>
      </c>
      <c r="E2" s="159" t="s">
        <v>22</v>
      </c>
      <c r="F2" s="124" t="s">
        <v>138</v>
      </c>
      <c r="G2" s="5" t="s">
        <v>4</v>
      </c>
      <c r="H2" s="4" t="s">
        <v>5</v>
      </c>
    </row>
    <row r="3" spans="1:8" ht="13.5" customHeight="1">
      <c r="A3" s="38" t="s">
        <v>249</v>
      </c>
      <c r="B3" s="66" t="s">
        <v>52</v>
      </c>
      <c r="C3" s="47"/>
      <c r="D3" s="46">
        <v>9.75</v>
      </c>
      <c r="E3" s="165"/>
      <c r="F3" s="125"/>
      <c r="G3" s="11">
        <f aca="true" t="shared" si="0" ref="G3:G33">SUM(C3:F3)</f>
        <v>9.75</v>
      </c>
      <c r="H3" s="4" t="s">
        <v>267</v>
      </c>
    </row>
    <row r="4" spans="1:9" s="56" customFormat="1" ht="13.5" customHeight="1">
      <c r="A4" s="38" t="s">
        <v>150</v>
      </c>
      <c r="B4" s="65" t="s">
        <v>89</v>
      </c>
      <c r="C4" s="47"/>
      <c r="D4" s="46"/>
      <c r="E4" s="165"/>
      <c r="F4" s="125"/>
      <c r="G4" s="7">
        <f t="shared" si="0"/>
        <v>0</v>
      </c>
      <c r="H4" s="4"/>
      <c r="I4" s="38"/>
    </row>
    <row r="5" spans="1:9" s="56" customFormat="1" ht="13.5" customHeight="1">
      <c r="A5" s="38"/>
      <c r="B5" s="135" t="s">
        <v>145</v>
      </c>
      <c r="C5" s="47">
        <v>24</v>
      </c>
      <c r="D5" s="136">
        <v>26</v>
      </c>
      <c r="E5" s="169">
        <v>16</v>
      </c>
      <c r="F5" s="125"/>
      <c r="G5" s="75">
        <f t="shared" si="0"/>
        <v>66</v>
      </c>
      <c r="H5" s="80" t="s">
        <v>15</v>
      </c>
      <c r="I5" s="38"/>
    </row>
    <row r="6" spans="1:9" s="56" customFormat="1" ht="13.5" customHeight="1">
      <c r="A6" s="38"/>
      <c r="B6" s="66" t="s">
        <v>106</v>
      </c>
      <c r="C6" s="47">
        <v>1.75</v>
      </c>
      <c r="D6" s="46">
        <v>6.75</v>
      </c>
      <c r="E6" s="165"/>
      <c r="F6" s="125"/>
      <c r="G6" s="11">
        <f t="shared" si="0"/>
        <v>8.5</v>
      </c>
      <c r="H6" s="4" t="s">
        <v>183</v>
      </c>
      <c r="I6" s="38"/>
    </row>
    <row r="7" spans="1:9" s="56" customFormat="1" ht="13.5" customHeight="1">
      <c r="A7" s="38"/>
      <c r="B7" s="66" t="s">
        <v>142</v>
      </c>
      <c r="C7" s="47"/>
      <c r="D7" s="46">
        <v>9</v>
      </c>
      <c r="E7" s="165">
        <f>6+1</f>
        <v>7</v>
      </c>
      <c r="F7" s="125"/>
      <c r="G7" s="11">
        <f t="shared" si="0"/>
        <v>16</v>
      </c>
      <c r="H7" s="4" t="s">
        <v>6</v>
      </c>
      <c r="I7" s="38"/>
    </row>
    <row r="8" spans="1:9" ht="13.5" customHeight="1">
      <c r="A8" s="1"/>
      <c r="B8" s="67" t="s">
        <v>65</v>
      </c>
      <c r="C8" s="6">
        <v>0</v>
      </c>
      <c r="D8" s="7">
        <v>8</v>
      </c>
      <c r="E8" s="160">
        <v>0</v>
      </c>
      <c r="F8" s="13"/>
      <c r="G8" s="11">
        <f t="shared" si="0"/>
        <v>8</v>
      </c>
      <c r="H8" s="31" t="s">
        <v>184</v>
      </c>
      <c r="I8" s="40"/>
    </row>
    <row r="9" spans="1:7" ht="13.5" customHeight="1">
      <c r="A9" s="38" t="s">
        <v>150</v>
      </c>
      <c r="B9" s="65" t="s">
        <v>149</v>
      </c>
      <c r="C9" s="47"/>
      <c r="D9" s="46"/>
      <c r="E9" s="165"/>
      <c r="F9" s="125"/>
      <c r="G9" s="7">
        <f t="shared" si="0"/>
        <v>0</v>
      </c>
    </row>
    <row r="10" spans="2:8" ht="13.5" customHeight="1">
      <c r="B10" s="66" t="s">
        <v>146</v>
      </c>
      <c r="C10" s="47">
        <v>17.25</v>
      </c>
      <c r="D10" s="46"/>
      <c r="E10" s="165"/>
      <c r="F10" s="125"/>
      <c r="G10" s="11">
        <f t="shared" si="0"/>
        <v>17.25</v>
      </c>
      <c r="H10" s="4" t="s">
        <v>109</v>
      </c>
    </row>
    <row r="11" spans="1:8" ht="13.5" customHeight="1">
      <c r="A11" s="38" t="s">
        <v>249</v>
      </c>
      <c r="B11" s="66" t="s">
        <v>127</v>
      </c>
      <c r="C11" s="47"/>
      <c r="D11" s="46">
        <v>18</v>
      </c>
      <c r="E11" s="165"/>
      <c r="F11" s="125"/>
      <c r="G11" s="11">
        <f t="shared" si="0"/>
        <v>18</v>
      </c>
      <c r="H11" s="4" t="s">
        <v>98</v>
      </c>
    </row>
    <row r="12" spans="1:9" ht="13.5" customHeight="1">
      <c r="A12" s="1"/>
      <c r="B12" s="67" t="s">
        <v>31</v>
      </c>
      <c r="C12" s="6">
        <v>14.75</v>
      </c>
      <c r="D12" s="7">
        <v>19</v>
      </c>
      <c r="E12" s="160"/>
      <c r="F12" s="13"/>
      <c r="G12" s="11">
        <f t="shared" si="0"/>
        <v>33.75</v>
      </c>
      <c r="H12" s="31" t="s">
        <v>20</v>
      </c>
      <c r="I12" s="40"/>
    </row>
    <row r="13" spans="1:7" ht="13.5" customHeight="1">
      <c r="A13" s="38" t="s">
        <v>150</v>
      </c>
      <c r="B13" s="65" t="s">
        <v>141</v>
      </c>
      <c r="C13" s="47"/>
      <c r="D13" s="46"/>
      <c r="E13" s="165"/>
      <c r="F13" s="125"/>
      <c r="G13" s="7">
        <f t="shared" si="0"/>
        <v>0</v>
      </c>
    </row>
    <row r="14" spans="2:8" ht="13.5" customHeight="1">
      <c r="B14" s="66" t="s">
        <v>33</v>
      </c>
      <c r="C14" s="47">
        <v>11</v>
      </c>
      <c r="D14" s="46">
        <v>9</v>
      </c>
      <c r="E14" s="165">
        <v>4</v>
      </c>
      <c r="F14" s="125"/>
      <c r="G14" s="11">
        <f t="shared" si="0"/>
        <v>24</v>
      </c>
      <c r="H14" s="4" t="s">
        <v>12</v>
      </c>
    </row>
    <row r="15" spans="1:9" ht="13.5" customHeight="1">
      <c r="A15" s="1"/>
      <c r="B15" s="67" t="s">
        <v>90</v>
      </c>
      <c r="C15" s="6">
        <v>17</v>
      </c>
      <c r="D15" s="7">
        <v>11</v>
      </c>
      <c r="E15" s="160">
        <f>8+1</f>
        <v>9</v>
      </c>
      <c r="F15" s="13"/>
      <c r="G15" s="11">
        <f t="shared" si="0"/>
        <v>37</v>
      </c>
      <c r="H15" s="31" t="s">
        <v>21</v>
      </c>
      <c r="I15" s="40"/>
    </row>
    <row r="16" spans="1:8" ht="13.5" customHeight="1">
      <c r="A16" s="38" t="s">
        <v>150</v>
      </c>
      <c r="B16" s="66" t="s">
        <v>140</v>
      </c>
      <c r="C16" s="47"/>
      <c r="D16" s="46"/>
      <c r="E16" s="165">
        <v>0</v>
      </c>
      <c r="F16" s="125"/>
      <c r="G16" s="11">
        <f t="shared" si="0"/>
        <v>0</v>
      </c>
      <c r="H16" s="4" t="s">
        <v>288</v>
      </c>
    </row>
    <row r="17" spans="2:8" ht="13.5" customHeight="1">
      <c r="B17" s="66" t="s">
        <v>107</v>
      </c>
      <c r="C17" s="47">
        <v>6.75</v>
      </c>
      <c r="D17" s="46">
        <v>3</v>
      </c>
      <c r="E17" s="165"/>
      <c r="F17" s="125"/>
      <c r="G17" s="11">
        <f t="shared" si="0"/>
        <v>9.75</v>
      </c>
      <c r="H17" s="4" t="s">
        <v>267</v>
      </c>
    </row>
    <row r="18" spans="1:9" ht="13.5" customHeight="1">
      <c r="A18" s="56"/>
      <c r="B18" s="77" t="s">
        <v>35</v>
      </c>
      <c r="C18" s="60">
        <v>24.75</v>
      </c>
      <c r="D18" s="57">
        <v>20.75</v>
      </c>
      <c r="E18" s="168">
        <f>16+1.75</f>
        <v>17.75</v>
      </c>
      <c r="F18" s="127"/>
      <c r="G18" s="71">
        <f t="shared" si="0"/>
        <v>63.25</v>
      </c>
      <c r="H18" s="62" t="s">
        <v>8</v>
      </c>
      <c r="I18" s="56"/>
    </row>
    <row r="19" spans="1:9" ht="13.5" customHeight="1">
      <c r="A19" s="1" t="s">
        <v>150</v>
      </c>
      <c r="B19" s="68" t="s">
        <v>32</v>
      </c>
      <c r="C19" s="6"/>
      <c r="D19" s="7"/>
      <c r="E19" s="160"/>
      <c r="F19" s="13"/>
      <c r="G19" s="7">
        <f t="shared" si="0"/>
        <v>0</v>
      </c>
      <c r="H19" s="31"/>
      <c r="I19" s="1"/>
    </row>
    <row r="20" spans="2:8" ht="13.5" customHeight="1">
      <c r="B20" s="66" t="s">
        <v>148</v>
      </c>
      <c r="C20" s="47">
        <v>10.75</v>
      </c>
      <c r="D20" s="46">
        <v>12</v>
      </c>
      <c r="E20" s="165"/>
      <c r="F20" s="125"/>
      <c r="G20" s="11">
        <f t="shared" si="0"/>
        <v>22.75</v>
      </c>
      <c r="H20" s="4" t="s">
        <v>11</v>
      </c>
    </row>
    <row r="21" spans="1:7" ht="13.5" customHeight="1">
      <c r="A21" s="38" t="s">
        <v>150</v>
      </c>
      <c r="B21" s="65" t="s">
        <v>137</v>
      </c>
      <c r="C21" s="47"/>
      <c r="D21" s="46"/>
      <c r="E21" s="165"/>
      <c r="F21" s="125"/>
      <c r="G21" s="7">
        <f t="shared" si="0"/>
        <v>0</v>
      </c>
    </row>
    <row r="22" spans="1:9" ht="13.5" customHeight="1">
      <c r="A22" s="1" t="s">
        <v>150</v>
      </c>
      <c r="B22" s="67" t="s">
        <v>79</v>
      </c>
      <c r="C22" s="6"/>
      <c r="D22" s="7"/>
      <c r="E22" s="160">
        <v>1.75</v>
      </c>
      <c r="F22" s="13"/>
      <c r="G22" s="11">
        <f t="shared" si="0"/>
        <v>1.75</v>
      </c>
      <c r="H22" s="31" t="s">
        <v>186</v>
      </c>
      <c r="I22" s="1"/>
    </row>
    <row r="23" spans="1:7" ht="13.5" customHeight="1">
      <c r="A23" s="38" t="s">
        <v>150</v>
      </c>
      <c r="B23" s="65" t="s">
        <v>58</v>
      </c>
      <c r="C23" s="47"/>
      <c r="D23" s="46"/>
      <c r="E23" s="165"/>
      <c r="F23" s="125"/>
      <c r="G23" s="7">
        <f t="shared" si="0"/>
        <v>0</v>
      </c>
    </row>
    <row r="24" spans="1:9" s="40" customFormat="1" ht="13.5" customHeight="1">
      <c r="A24" s="56"/>
      <c r="B24" s="170" t="s">
        <v>143</v>
      </c>
      <c r="C24" s="60">
        <v>26</v>
      </c>
      <c r="D24" s="71">
        <v>28</v>
      </c>
      <c r="E24" s="166">
        <v>8</v>
      </c>
      <c r="F24" s="127"/>
      <c r="G24" s="134">
        <f t="shared" si="0"/>
        <v>62</v>
      </c>
      <c r="H24" s="139" t="s">
        <v>10</v>
      </c>
      <c r="I24" s="56"/>
    </row>
    <row r="25" spans="1:9" s="40" customFormat="1" ht="13.5" customHeight="1">
      <c r="A25" s="38"/>
      <c r="B25" s="66" t="s">
        <v>147</v>
      </c>
      <c r="C25" s="47">
        <v>16.5</v>
      </c>
      <c r="D25" s="46"/>
      <c r="E25" s="165"/>
      <c r="F25" s="125"/>
      <c r="G25" s="11">
        <f t="shared" si="0"/>
        <v>16.5</v>
      </c>
      <c r="H25" s="4" t="s">
        <v>113</v>
      </c>
      <c r="I25" s="38"/>
    </row>
    <row r="26" spans="1:9" s="40" customFormat="1" ht="13.5" customHeight="1">
      <c r="A26" s="38"/>
      <c r="B26" s="66" t="s">
        <v>153</v>
      </c>
      <c r="C26" s="47"/>
      <c r="D26" s="46">
        <v>9</v>
      </c>
      <c r="E26" s="165"/>
      <c r="F26" s="125"/>
      <c r="G26" s="11">
        <f t="shared" si="0"/>
        <v>9</v>
      </c>
      <c r="H26" s="4" t="s">
        <v>182</v>
      </c>
      <c r="I26" s="38"/>
    </row>
    <row r="27" spans="1:9" s="40" customFormat="1" ht="13.5" customHeight="1">
      <c r="A27" s="38"/>
      <c r="B27" s="66" t="s">
        <v>105</v>
      </c>
      <c r="C27" s="47">
        <v>8</v>
      </c>
      <c r="D27" s="46">
        <v>7</v>
      </c>
      <c r="E27" s="165"/>
      <c r="F27" s="125"/>
      <c r="G27" s="11">
        <f t="shared" si="0"/>
        <v>15</v>
      </c>
      <c r="H27" s="4" t="s">
        <v>99</v>
      </c>
      <c r="I27" s="38"/>
    </row>
    <row r="28" spans="1:9" s="40" customFormat="1" ht="13.5" customHeight="1">
      <c r="A28" s="56"/>
      <c r="B28" s="77" t="s">
        <v>30</v>
      </c>
      <c r="C28" s="60">
        <v>24.75</v>
      </c>
      <c r="D28" s="57">
        <v>24.75</v>
      </c>
      <c r="E28" s="167">
        <v>20</v>
      </c>
      <c r="F28" s="126"/>
      <c r="G28" s="72">
        <f t="shared" si="0"/>
        <v>69.5</v>
      </c>
      <c r="H28" s="171" t="s">
        <v>14</v>
      </c>
      <c r="I28" s="58"/>
    </row>
    <row r="29" spans="1:9" s="40" customFormat="1" ht="13.5" customHeight="1">
      <c r="A29" s="38"/>
      <c r="B29" s="66" t="s">
        <v>144</v>
      </c>
      <c r="C29" s="47">
        <v>10.75</v>
      </c>
      <c r="D29" s="46">
        <v>12</v>
      </c>
      <c r="E29" s="165">
        <f>3+1.75+1</f>
        <v>5.75</v>
      </c>
      <c r="F29" s="125"/>
      <c r="G29" s="11">
        <f t="shared" si="0"/>
        <v>28.5</v>
      </c>
      <c r="H29" s="4" t="s">
        <v>66</v>
      </c>
      <c r="I29" s="38"/>
    </row>
    <row r="30" spans="1:9" s="40" customFormat="1" ht="13.5" customHeight="1">
      <c r="A30" s="38"/>
      <c r="B30" s="66" t="s">
        <v>139</v>
      </c>
      <c r="C30" s="47">
        <v>0</v>
      </c>
      <c r="D30" s="46"/>
      <c r="E30" s="165">
        <v>0</v>
      </c>
      <c r="F30" s="125"/>
      <c r="G30" s="11">
        <f t="shared" si="0"/>
        <v>0</v>
      </c>
      <c r="H30" s="4" t="s">
        <v>288</v>
      </c>
      <c r="I30" s="38"/>
    </row>
    <row r="31" spans="1:8" s="40" customFormat="1" ht="13.5" customHeight="1">
      <c r="A31" s="1"/>
      <c r="B31" s="67" t="s">
        <v>80</v>
      </c>
      <c r="C31" s="6">
        <v>8</v>
      </c>
      <c r="D31" s="7">
        <v>12</v>
      </c>
      <c r="E31" s="160">
        <v>0</v>
      </c>
      <c r="F31" s="13"/>
      <c r="G31" s="11">
        <f t="shared" si="0"/>
        <v>20</v>
      </c>
      <c r="H31" s="31" t="s">
        <v>9</v>
      </c>
    </row>
    <row r="32" spans="1:9" s="40" customFormat="1" ht="13.5" customHeight="1">
      <c r="A32" s="56"/>
      <c r="B32" s="67" t="s">
        <v>104</v>
      </c>
      <c r="C32" s="59">
        <v>28</v>
      </c>
      <c r="D32" s="72">
        <v>28</v>
      </c>
      <c r="E32" s="166"/>
      <c r="F32" s="127"/>
      <c r="G32" s="134">
        <f t="shared" si="0"/>
        <v>56</v>
      </c>
      <c r="H32" s="139" t="s">
        <v>13</v>
      </c>
      <c r="I32" s="56"/>
    </row>
    <row r="33" spans="1:9" s="40" customFormat="1" ht="13.5" customHeight="1">
      <c r="A33" s="38"/>
      <c r="B33" s="66" t="s">
        <v>64</v>
      </c>
      <c r="C33" s="47"/>
      <c r="D33" s="46" t="s">
        <v>7</v>
      </c>
      <c r="E33" s="165">
        <f>1.75+1</f>
        <v>2.75</v>
      </c>
      <c r="F33" s="125"/>
      <c r="G33" s="11">
        <f t="shared" si="0"/>
        <v>2.75</v>
      </c>
      <c r="H33" s="4" t="s">
        <v>185</v>
      </c>
      <c r="I33" s="38"/>
    </row>
    <row r="34" spans="2:8" s="49" customFormat="1" ht="13.5" customHeight="1">
      <c r="B34" s="69" t="s">
        <v>16</v>
      </c>
      <c r="C34" s="55">
        <f>SUM(C3:C33)</f>
        <v>250</v>
      </c>
      <c r="D34" s="55">
        <f>SUM(D3:D33)</f>
        <v>273</v>
      </c>
      <c r="E34" s="55">
        <f>SUM(E3:E33)</f>
        <v>92</v>
      </c>
      <c r="F34" s="55">
        <f>SUM(F3:F33)</f>
        <v>0</v>
      </c>
      <c r="G34" s="55">
        <f>SUM(G3:G33)</f>
        <v>615</v>
      </c>
      <c r="H34" s="63"/>
    </row>
    <row r="35" spans="2:6" ht="12" customHeight="1">
      <c r="B35" s="69"/>
      <c r="C35" s="51"/>
      <c r="D35" s="30"/>
      <c r="E35" s="30"/>
      <c r="F35" s="30"/>
    </row>
    <row r="36" spans="1:8" s="50" customFormat="1" ht="12" customHeight="1">
      <c r="A36" s="50" t="s">
        <v>275</v>
      </c>
      <c r="B36" s="69"/>
      <c r="H36" s="64"/>
    </row>
    <row r="37" ht="12.75" hidden="1"/>
    <row r="39" ht="13.5">
      <c r="B39" s="70"/>
    </row>
    <row r="40" ht="13.5">
      <c r="B40" s="70"/>
    </row>
    <row r="41" ht="13.5">
      <c r="B41" s="70"/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90" r:id="rId1"/>
  <headerFooter alignWithMargins="0">
    <oddHeader>&amp;LTJ SOKOL Hradec Králové, atletický oddíl&amp;C&amp;"Arial Narrow,Tučné"Přehled bodujících závodnic v sezóně 2020&amp;R&amp;"Arial Narrow,Tučné"Dorostenky</oddHeader>
    <oddFooter>&amp;LHradec Králové, &amp;D (tisk)&amp;CList &amp;F (&amp;A)&amp;RSestavil ing. Pavel Rytíř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4" sqref="F14"/>
    </sheetView>
  </sheetViews>
  <sheetFormatPr defaultColWidth="9.33203125" defaultRowHeight="12.75"/>
  <cols>
    <col min="1" max="1" width="14.16015625" style="85" customWidth="1"/>
    <col min="2" max="2" width="27.83203125" style="85" customWidth="1"/>
    <col min="3" max="7" width="9.33203125" style="85" customWidth="1"/>
    <col min="8" max="8" width="10" style="86" customWidth="1"/>
    <col min="9" max="16384" width="9.33203125" style="85" customWidth="1"/>
  </cols>
  <sheetData>
    <row r="1" ht="12.75">
      <c r="A1" s="84" t="s">
        <v>164</v>
      </c>
    </row>
    <row r="2" spans="1:8" ht="24.75" customHeight="1">
      <c r="A2" s="87"/>
      <c r="B2" s="87" t="s">
        <v>0</v>
      </c>
      <c r="C2" s="87" t="s">
        <v>1</v>
      </c>
      <c r="D2" s="87" t="s">
        <v>2</v>
      </c>
      <c r="E2" s="87" t="s">
        <v>3</v>
      </c>
      <c r="F2" s="128" t="s">
        <v>22</v>
      </c>
      <c r="G2" s="89" t="s">
        <v>4</v>
      </c>
      <c r="H2" s="90" t="s">
        <v>5</v>
      </c>
    </row>
    <row r="3" spans="2:8" ht="12.75">
      <c r="B3" s="84" t="s">
        <v>280</v>
      </c>
      <c r="C3" s="92"/>
      <c r="D3" s="92"/>
      <c r="E3" s="91" t="s">
        <v>7</v>
      </c>
      <c r="F3" s="129">
        <v>7</v>
      </c>
      <c r="G3" s="95">
        <f aca="true" t="shared" si="0" ref="G3:G22">SUM(C3:F3)</f>
        <v>7</v>
      </c>
      <c r="H3" s="86" t="s">
        <v>245</v>
      </c>
    </row>
    <row r="4" spans="2:8" ht="12.75">
      <c r="B4" s="84" t="s">
        <v>84</v>
      </c>
      <c r="C4" s="92"/>
      <c r="D4" s="92"/>
      <c r="E4" s="91">
        <v>11</v>
      </c>
      <c r="F4" s="129">
        <f>6+0.75</f>
        <v>6.75</v>
      </c>
      <c r="G4" s="95">
        <f t="shared" si="0"/>
        <v>17.75</v>
      </c>
      <c r="H4" s="86" t="s">
        <v>98</v>
      </c>
    </row>
    <row r="5" spans="2:8" ht="14.25">
      <c r="B5" s="158" t="s">
        <v>71</v>
      </c>
      <c r="C5" s="92">
        <v>16</v>
      </c>
      <c r="D5" s="92">
        <v>20</v>
      </c>
      <c r="E5" s="93">
        <f>18+2.25</f>
        <v>20.25</v>
      </c>
      <c r="F5" s="130">
        <v>6</v>
      </c>
      <c r="G5" s="155">
        <f t="shared" si="0"/>
        <v>62.25</v>
      </c>
      <c r="H5" s="157" t="s">
        <v>8</v>
      </c>
    </row>
    <row r="6" spans="2:8" ht="12.75">
      <c r="B6" s="84" t="s">
        <v>101</v>
      </c>
      <c r="C6" s="92"/>
      <c r="D6" s="92">
        <v>2.25</v>
      </c>
      <c r="E6" s="91"/>
      <c r="F6" s="129"/>
      <c r="G6" s="95">
        <f t="shared" si="0"/>
        <v>2.25</v>
      </c>
      <c r="H6" s="86" t="s">
        <v>210</v>
      </c>
    </row>
    <row r="7" spans="2:8" ht="12.75">
      <c r="B7" s="84" t="s">
        <v>188</v>
      </c>
      <c r="C7" s="92">
        <f>18+2.75</f>
        <v>20.75</v>
      </c>
      <c r="D7" s="92"/>
      <c r="E7" s="93">
        <f>18+2.25</f>
        <v>20.25</v>
      </c>
      <c r="F7" s="129"/>
      <c r="G7" s="95">
        <f t="shared" si="0"/>
        <v>41</v>
      </c>
      <c r="H7" s="86" t="s">
        <v>21</v>
      </c>
    </row>
    <row r="8" spans="2:8" ht="12.75">
      <c r="B8" s="84" t="s">
        <v>83</v>
      </c>
      <c r="C8" s="92">
        <v>4</v>
      </c>
      <c r="D8" s="92">
        <v>6</v>
      </c>
      <c r="E8" s="91">
        <v>14</v>
      </c>
      <c r="F8" s="130">
        <v>2</v>
      </c>
      <c r="G8" s="95">
        <f t="shared" si="0"/>
        <v>26</v>
      </c>
      <c r="H8" s="86" t="s">
        <v>20</v>
      </c>
    </row>
    <row r="9" spans="2:8" ht="12.75">
      <c r="B9" s="84" t="s">
        <v>122</v>
      </c>
      <c r="C9" s="92"/>
      <c r="D9" s="92">
        <f>9+2.25</f>
        <v>11.25</v>
      </c>
      <c r="E9" s="91">
        <v>8</v>
      </c>
      <c r="F9" s="129"/>
      <c r="G9" s="95">
        <f t="shared" si="0"/>
        <v>19.25</v>
      </c>
      <c r="H9" s="86" t="s">
        <v>282</v>
      </c>
    </row>
    <row r="10" spans="2:8" ht="12.75">
      <c r="B10" s="84" t="s">
        <v>123</v>
      </c>
      <c r="C10" s="92"/>
      <c r="D10" s="92">
        <f>10+2.25</f>
        <v>12.25</v>
      </c>
      <c r="E10" s="91">
        <v>7</v>
      </c>
      <c r="F10" s="129"/>
      <c r="G10" s="95">
        <f t="shared" si="0"/>
        <v>19.25</v>
      </c>
      <c r="H10" s="86" t="s">
        <v>282</v>
      </c>
    </row>
    <row r="11" spans="2:8" ht="12.75">
      <c r="B11" s="84" t="s">
        <v>190</v>
      </c>
      <c r="C11" s="92">
        <v>2</v>
      </c>
      <c r="D11" s="92"/>
      <c r="E11" s="91"/>
      <c r="F11" s="129">
        <v>5</v>
      </c>
      <c r="G11" s="95">
        <f t="shared" si="0"/>
        <v>7</v>
      </c>
      <c r="H11" s="86" t="s">
        <v>245</v>
      </c>
    </row>
    <row r="12" spans="2:8" ht="15">
      <c r="B12" s="84" t="s">
        <v>73</v>
      </c>
      <c r="C12" s="108">
        <v>27</v>
      </c>
      <c r="D12" s="92">
        <v>12</v>
      </c>
      <c r="E12" s="91">
        <v>19</v>
      </c>
      <c r="F12" s="130">
        <f>3+0.75</f>
        <v>3.75</v>
      </c>
      <c r="G12" s="95">
        <f t="shared" si="0"/>
        <v>61.75</v>
      </c>
      <c r="H12" s="86" t="s">
        <v>10</v>
      </c>
    </row>
    <row r="13" spans="2:8" ht="12.75">
      <c r="B13" s="84" t="s">
        <v>48</v>
      </c>
      <c r="C13" s="92">
        <f>17+2.75</f>
        <v>19.75</v>
      </c>
      <c r="D13" s="92">
        <v>12.5</v>
      </c>
      <c r="E13" s="91">
        <f>11+2.25</f>
        <v>13.25</v>
      </c>
      <c r="F13" s="130">
        <f>3+0.75</f>
        <v>3.75</v>
      </c>
      <c r="G13" s="95">
        <f t="shared" si="0"/>
        <v>49.25</v>
      </c>
      <c r="H13" s="86" t="s">
        <v>13</v>
      </c>
    </row>
    <row r="14" spans="2:8" ht="15">
      <c r="B14" s="158" t="s">
        <v>86</v>
      </c>
      <c r="C14" s="107">
        <f>20+2.75</f>
        <v>22.75</v>
      </c>
      <c r="D14" s="132">
        <v>29</v>
      </c>
      <c r="E14" s="91">
        <v>9</v>
      </c>
      <c r="F14" s="154">
        <v>20</v>
      </c>
      <c r="G14" s="156">
        <f t="shared" si="0"/>
        <v>80.75</v>
      </c>
      <c r="H14" s="105" t="s">
        <v>14</v>
      </c>
    </row>
    <row r="15" spans="2:8" ht="12.75">
      <c r="B15" s="84" t="s">
        <v>281</v>
      </c>
      <c r="C15" s="92"/>
      <c r="D15" s="92"/>
      <c r="E15" s="91" t="s">
        <v>7</v>
      </c>
      <c r="F15" s="130">
        <v>0.75</v>
      </c>
      <c r="G15" s="95">
        <f t="shared" si="0"/>
        <v>0.75</v>
      </c>
      <c r="H15" s="86" t="s">
        <v>182</v>
      </c>
    </row>
    <row r="16" spans="2:8" ht="12.75">
      <c r="B16" s="84" t="s">
        <v>87</v>
      </c>
      <c r="C16" s="92"/>
      <c r="D16" s="95"/>
      <c r="E16" s="91">
        <v>10</v>
      </c>
      <c r="F16" s="129"/>
      <c r="G16" s="95">
        <f t="shared" si="0"/>
        <v>10</v>
      </c>
      <c r="H16" s="86" t="s">
        <v>6</v>
      </c>
    </row>
    <row r="17" spans="2:8" ht="15">
      <c r="B17" s="158" t="s">
        <v>47</v>
      </c>
      <c r="C17" s="107">
        <f>19+2.75</f>
        <v>21.75</v>
      </c>
      <c r="D17" s="95">
        <v>24</v>
      </c>
      <c r="E17" s="119">
        <f>19+2.25</f>
        <v>21.25</v>
      </c>
      <c r="F17" s="130">
        <v>3</v>
      </c>
      <c r="G17" s="155">
        <f t="shared" si="0"/>
        <v>70</v>
      </c>
      <c r="H17" s="106" t="s">
        <v>15</v>
      </c>
    </row>
    <row r="18" spans="2:8" ht="12.75">
      <c r="B18" s="84" t="s">
        <v>189</v>
      </c>
      <c r="C18" s="92">
        <v>5</v>
      </c>
      <c r="D18" s="92">
        <v>6</v>
      </c>
      <c r="E18" s="91"/>
      <c r="F18" s="130">
        <v>4</v>
      </c>
      <c r="G18" s="95">
        <f t="shared" si="0"/>
        <v>15</v>
      </c>
      <c r="H18" s="86" t="s">
        <v>113</v>
      </c>
    </row>
    <row r="19" spans="2:8" ht="12.75">
      <c r="B19" s="84" t="s">
        <v>100</v>
      </c>
      <c r="C19" s="92">
        <v>12</v>
      </c>
      <c r="D19" s="92">
        <f>4+2.25</f>
        <v>6.25</v>
      </c>
      <c r="E19" s="91"/>
      <c r="F19" s="130">
        <f>0.75+0.75</f>
        <v>1.5</v>
      </c>
      <c r="G19" s="95">
        <f t="shared" si="0"/>
        <v>19.75</v>
      </c>
      <c r="H19" s="86" t="s">
        <v>12</v>
      </c>
    </row>
    <row r="20" spans="2:8" ht="12.75">
      <c r="B20" s="84" t="s">
        <v>49</v>
      </c>
      <c r="C20" s="92"/>
      <c r="D20" s="95">
        <v>23</v>
      </c>
      <c r="E20" s="91"/>
      <c r="F20" s="129"/>
      <c r="G20" s="95">
        <f t="shared" si="0"/>
        <v>23</v>
      </c>
      <c r="H20" s="86" t="s">
        <v>66</v>
      </c>
    </row>
    <row r="21" spans="2:8" ht="12.75">
      <c r="B21" s="84" t="s">
        <v>72</v>
      </c>
      <c r="C21" s="92"/>
      <c r="D21" s="92">
        <v>7</v>
      </c>
      <c r="E21" s="91">
        <v>8</v>
      </c>
      <c r="F21" s="130">
        <f>0.75+0.75</f>
        <v>1.5</v>
      </c>
      <c r="G21" s="95">
        <f t="shared" si="0"/>
        <v>16.5</v>
      </c>
      <c r="H21" s="86" t="s">
        <v>109</v>
      </c>
    </row>
    <row r="22" spans="2:7" ht="10.5" customHeight="1">
      <c r="B22" s="97" t="s">
        <v>16</v>
      </c>
      <c r="C22" s="98">
        <f>SUM(C3:C21)</f>
        <v>151</v>
      </c>
      <c r="D22" s="98">
        <f>SUM(D3:D21)</f>
        <v>171.5</v>
      </c>
      <c r="E22" s="98">
        <f>SUM(E3:E21)</f>
        <v>161</v>
      </c>
      <c r="F22" s="131">
        <f>SUM(F3:F21)</f>
        <v>65</v>
      </c>
      <c r="G22" s="95">
        <f t="shared" si="0"/>
        <v>548.5</v>
      </c>
    </row>
    <row r="23" spans="2:7" ht="10.5" customHeight="1">
      <c r="B23" s="97" t="s">
        <v>23</v>
      </c>
      <c r="C23" s="100"/>
      <c r="D23" s="100"/>
      <c r="E23" s="100"/>
      <c r="F23" s="100"/>
      <c r="G23" s="101"/>
    </row>
    <row r="24" spans="2:7" ht="10.5" customHeight="1">
      <c r="B24" s="102" t="s">
        <v>7</v>
      </c>
      <c r="C24" s="103"/>
      <c r="D24" s="103"/>
      <c r="E24" s="103" t="s">
        <v>7</v>
      </c>
      <c r="F24" s="103" t="s">
        <v>7</v>
      </c>
      <c r="G24" s="103"/>
    </row>
    <row r="25" ht="12" customHeight="1">
      <c r="A25" s="85" t="s">
        <v>262</v>
      </c>
    </row>
    <row r="26" ht="12.75" hidden="1"/>
    <row r="28" ht="12.75">
      <c r="B28" s="104"/>
    </row>
    <row r="29" ht="12.75">
      <c r="B29" s="104"/>
    </row>
    <row r="30" ht="12.75">
      <c r="B30" s="104"/>
    </row>
    <row r="31" ht="12.75">
      <c r="B31" s="104"/>
    </row>
    <row r="32" spans="2:8" ht="12.75">
      <c r="B32" s="104"/>
      <c r="H32" s="86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Narrow,Tučné"Starší žáci</oddHeader>
    <oddFooter>&amp;LHradec Králové, &amp;D (tisk)&amp;CList &amp;F (&amp;A)&amp;RSestavil ing. Pavel Rytíř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">
      <selection activeCell="G9" sqref="G9"/>
    </sheetView>
  </sheetViews>
  <sheetFormatPr defaultColWidth="9.33203125" defaultRowHeight="12.75"/>
  <cols>
    <col min="1" max="1" width="14.16015625" style="85" customWidth="1"/>
    <col min="2" max="2" width="27.83203125" style="85" customWidth="1"/>
    <col min="3" max="6" width="9.33203125" style="85" customWidth="1"/>
    <col min="7" max="7" width="9.33203125" style="84" customWidth="1"/>
    <col min="8" max="8" width="9.33203125" style="85" customWidth="1"/>
    <col min="9" max="9" width="10" style="86" customWidth="1"/>
    <col min="10" max="16384" width="9.33203125" style="85" customWidth="1"/>
  </cols>
  <sheetData>
    <row r="1" spans="1:9" s="144" customFormat="1" ht="12.75">
      <c r="A1" s="143" t="s">
        <v>136</v>
      </c>
      <c r="G1" s="143"/>
      <c r="I1" s="90"/>
    </row>
    <row r="2" spans="1:9" ht="24" customHeight="1">
      <c r="A2" s="87"/>
      <c r="B2" s="88" t="s">
        <v>19</v>
      </c>
      <c r="C2" s="87" t="s">
        <v>1</v>
      </c>
      <c r="D2" s="88" t="s">
        <v>2</v>
      </c>
      <c r="E2" s="88" t="s">
        <v>3</v>
      </c>
      <c r="F2" s="148" t="s">
        <v>22</v>
      </c>
      <c r="G2" s="148" t="s">
        <v>63</v>
      </c>
      <c r="H2" s="89" t="s">
        <v>4</v>
      </c>
      <c r="I2" s="90" t="s">
        <v>5</v>
      </c>
    </row>
    <row r="3" spans="1:9" ht="13.5" customHeight="1">
      <c r="A3" s="94"/>
      <c r="B3" s="84" t="s">
        <v>52</v>
      </c>
      <c r="C3" s="91">
        <f>14+2.75</f>
        <v>16.75</v>
      </c>
      <c r="D3" s="92">
        <v>20.75</v>
      </c>
      <c r="E3" s="91">
        <f>15+2.75</f>
        <v>17.75</v>
      </c>
      <c r="F3" s="149">
        <v>14</v>
      </c>
      <c r="G3" s="173">
        <v>2</v>
      </c>
      <c r="H3" s="95">
        <f>SUM(C3:G3)</f>
        <v>71.25</v>
      </c>
      <c r="I3" s="86" t="s">
        <v>13</v>
      </c>
    </row>
    <row r="4" spans="1:9" ht="13.5" customHeight="1">
      <c r="A4" s="94"/>
      <c r="B4" s="84" t="s">
        <v>255</v>
      </c>
      <c r="C4" s="91" t="s">
        <v>7</v>
      </c>
      <c r="D4" s="92">
        <v>7</v>
      </c>
      <c r="E4" s="91"/>
      <c r="F4" s="149">
        <v>11</v>
      </c>
      <c r="G4" s="173">
        <v>6</v>
      </c>
      <c r="H4" s="95">
        <f>SUM(C4:G4)</f>
        <v>24</v>
      </c>
      <c r="I4" s="86" t="s">
        <v>109</v>
      </c>
    </row>
    <row r="5" spans="2:9" ht="13.5" customHeight="1">
      <c r="B5" s="84" t="s">
        <v>96</v>
      </c>
      <c r="C5" s="91">
        <v>0.5</v>
      </c>
      <c r="D5" s="92"/>
      <c r="E5" s="91">
        <v>1</v>
      </c>
      <c r="F5" s="149">
        <f>1.75+1.75</f>
        <v>3.5</v>
      </c>
      <c r="G5" s="173">
        <v>1.75</v>
      </c>
      <c r="H5" s="95">
        <f>SUM(C5:G5)</f>
        <v>6.75</v>
      </c>
      <c r="I5" s="86" t="s">
        <v>288</v>
      </c>
    </row>
    <row r="6" spans="2:9" ht="13.5" customHeight="1">
      <c r="B6" s="84" t="s">
        <v>181</v>
      </c>
      <c r="C6" s="91">
        <f>3+1.25</f>
        <v>4.25</v>
      </c>
      <c r="D6" s="92"/>
      <c r="E6" s="91">
        <v>1.5</v>
      </c>
      <c r="F6" s="149">
        <f>1+1.75+1.75</f>
        <v>4.5</v>
      </c>
      <c r="G6" s="173">
        <f>0.75+1.5</f>
        <v>2.25</v>
      </c>
      <c r="H6" s="95">
        <f>SUM(C6:G6)</f>
        <v>12.5</v>
      </c>
      <c r="I6" s="86" t="s">
        <v>209</v>
      </c>
    </row>
    <row r="7" spans="2:9" ht="13.5" customHeight="1">
      <c r="B7" s="84" t="s">
        <v>179</v>
      </c>
      <c r="C7" s="91">
        <f>1+1.25</f>
        <v>2.25</v>
      </c>
      <c r="D7" s="92"/>
      <c r="E7" s="91">
        <v>6</v>
      </c>
      <c r="F7" s="149"/>
      <c r="G7" s="173">
        <v>0</v>
      </c>
      <c r="H7" s="95">
        <f>SUM(C7:G7)</f>
        <v>8.25</v>
      </c>
      <c r="I7" s="86" t="s">
        <v>184</v>
      </c>
    </row>
    <row r="8" spans="2:9" ht="13.5" customHeight="1">
      <c r="B8" s="84" t="s">
        <v>81</v>
      </c>
      <c r="C8" s="91">
        <v>2.75</v>
      </c>
      <c r="D8" s="92"/>
      <c r="E8" s="91"/>
      <c r="F8" s="149"/>
      <c r="G8" s="173"/>
      <c r="H8" s="95">
        <f>SUM(C8:G8)</f>
        <v>2.75</v>
      </c>
      <c r="I8" s="86" t="s">
        <v>259</v>
      </c>
    </row>
    <row r="9" spans="1:9" ht="13.5" customHeight="1">
      <c r="A9" s="94"/>
      <c r="B9" s="84" t="s">
        <v>180</v>
      </c>
      <c r="C9" s="91">
        <f>12+2.75</f>
        <v>14.75</v>
      </c>
      <c r="D9" s="92">
        <v>22.75</v>
      </c>
      <c r="E9" s="91">
        <v>11</v>
      </c>
      <c r="F9" s="150">
        <v>25</v>
      </c>
      <c r="G9" s="175">
        <v>16</v>
      </c>
      <c r="H9" s="95">
        <f>SUM(C9:G9)</f>
        <v>89.5</v>
      </c>
      <c r="I9" s="133" t="s">
        <v>15</v>
      </c>
    </row>
    <row r="10" spans="1:9" ht="13.5" customHeight="1">
      <c r="A10" s="94"/>
      <c r="B10" s="84" t="s">
        <v>221</v>
      </c>
      <c r="C10" s="91">
        <f>9+2.75</f>
        <v>11.75</v>
      </c>
      <c r="D10" s="92">
        <v>13.5</v>
      </c>
      <c r="E10" s="91">
        <v>2.75</v>
      </c>
      <c r="F10" s="149">
        <f>6+2.25</f>
        <v>8.25</v>
      </c>
      <c r="G10" s="173">
        <f>6+1.5</f>
        <v>7.5</v>
      </c>
      <c r="H10" s="95">
        <f>SUM(C10:G10)</f>
        <v>43.75</v>
      </c>
      <c r="I10" s="86" t="s">
        <v>66</v>
      </c>
    </row>
    <row r="11" spans="1:9" ht="13.5" customHeight="1">
      <c r="A11" s="94"/>
      <c r="B11" s="84" t="s">
        <v>53</v>
      </c>
      <c r="C11" s="93">
        <v>21</v>
      </c>
      <c r="D11" s="92">
        <v>24</v>
      </c>
      <c r="E11" s="91">
        <v>9</v>
      </c>
      <c r="F11" s="149">
        <v>19</v>
      </c>
      <c r="G11" s="175">
        <v>13</v>
      </c>
      <c r="H11" s="95">
        <f>SUM(C11:G11)</f>
        <v>86</v>
      </c>
      <c r="I11" s="133" t="s">
        <v>8</v>
      </c>
    </row>
    <row r="12" spans="2:9" ht="13.5" customHeight="1">
      <c r="B12" s="84" t="s">
        <v>258</v>
      </c>
      <c r="C12" s="92"/>
      <c r="D12" s="92"/>
      <c r="E12" s="91">
        <v>1</v>
      </c>
      <c r="F12" s="151"/>
      <c r="G12" s="173"/>
      <c r="H12" s="95">
        <f>SUM(C12:G12)</f>
        <v>1</v>
      </c>
      <c r="I12" s="96" t="s">
        <v>261</v>
      </c>
    </row>
    <row r="13" spans="1:9" ht="13.5" customHeight="1">
      <c r="A13" s="94"/>
      <c r="B13" s="84" t="s">
        <v>59</v>
      </c>
      <c r="C13" s="91">
        <f>1.25+1.5</f>
        <v>2.75</v>
      </c>
      <c r="D13" s="92"/>
      <c r="E13" s="91">
        <v>4</v>
      </c>
      <c r="F13" s="149"/>
      <c r="G13" s="173"/>
      <c r="H13" s="95">
        <f>SUM(C13:G13)</f>
        <v>6.75</v>
      </c>
      <c r="I13" s="86" t="s">
        <v>288</v>
      </c>
    </row>
    <row r="14" spans="2:9" ht="13.5" customHeight="1">
      <c r="B14" s="84" t="s">
        <v>130</v>
      </c>
      <c r="C14" s="92"/>
      <c r="D14" s="92">
        <v>1.25</v>
      </c>
      <c r="E14" s="91"/>
      <c r="F14" s="151"/>
      <c r="G14" s="173"/>
      <c r="H14" s="95">
        <f>SUM(C14:G14)</f>
        <v>1.25</v>
      </c>
      <c r="I14" s="96" t="s">
        <v>260</v>
      </c>
    </row>
    <row r="15" spans="2:9" ht="12.75">
      <c r="B15" s="84" t="s">
        <v>75</v>
      </c>
      <c r="C15" s="119">
        <f>22+2.75</f>
        <v>24.75</v>
      </c>
      <c r="D15" s="95">
        <v>24.75</v>
      </c>
      <c r="E15" s="91">
        <v>11</v>
      </c>
      <c r="F15" s="149"/>
      <c r="G15" s="173"/>
      <c r="H15" s="95">
        <f>SUM(C15:G15)</f>
        <v>60.5</v>
      </c>
      <c r="I15" s="86" t="s">
        <v>21</v>
      </c>
    </row>
    <row r="16" spans="2:9" ht="13.5" customHeight="1">
      <c r="B16" s="84" t="s">
        <v>265</v>
      </c>
      <c r="C16" s="92">
        <f>4+1.25</f>
        <v>5.25</v>
      </c>
      <c r="D16" s="92">
        <v>5.25</v>
      </c>
      <c r="E16" s="91">
        <v>1</v>
      </c>
      <c r="F16" s="151"/>
      <c r="G16" s="173"/>
      <c r="H16" s="95">
        <f>SUM(C16:G16)</f>
        <v>11.5</v>
      </c>
      <c r="I16" s="96" t="s">
        <v>210</v>
      </c>
    </row>
    <row r="17" spans="2:9" ht="13.5" customHeight="1">
      <c r="B17" s="84" t="s">
        <v>133</v>
      </c>
      <c r="C17" s="92">
        <f>0.5+1.25</f>
        <v>1.75</v>
      </c>
      <c r="D17" s="92"/>
      <c r="E17" s="91">
        <f>6+1</f>
        <v>7</v>
      </c>
      <c r="F17" s="151"/>
      <c r="G17" s="173"/>
      <c r="H17" s="95">
        <f>SUM(C17:G17)</f>
        <v>8.75</v>
      </c>
      <c r="I17" s="96" t="s">
        <v>183</v>
      </c>
    </row>
    <row r="18" spans="1:9" ht="13.5" customHeight="1">
      <c r="A18" s="94"/>
      <c r="B18" s="84" t="s">
        <v>50</v>
      </c>
      <c r="C18" s="91">
        <f>6+1.5</f>
        <v>7.5</v>
      </c>
      <c r="D18" s="92">
        <v>11</v>
      </c>
      <c r="E18" s="91"/>
      <c r="F18" s="149"/>
      <c r="G18" s="173">
        <v>6</v>
      </c>
      <c r="H18" s="95">
        <f>SUM(C18:G18)</f>
        <v>24.5</v>
      </c>
      <c r="I18" s="86" t="s">
        <v>98</v>
      </c>
    </row>
    <row r="19" spans="2:9" ht="13.5" customHeight="1">
      <c r="B19" s="84" t="s">
        <v>135</v>
      </c>
      <c r="C19" s="92">
        <v>0.5</v>
      </c>
      <c r="D19" s="92"/>
      <c r="E19" s="91"/>
      <c r="F19" s="151"/>
      <c r="G19" s="173"/>
      <c r="H19" s="95">
        <f>SUM(C19:G19)</f>
        <v>0.5</v>
      </c>
      <c r="I19" s="96" t="s">
        <v>279</v>
      </c>
    </row>
    <row r="20" spans="2:9" ht="13.5" customHeight="1">
      <c r="B20" s="84" t="s">
        <v>256</v>
      </c>
      <c r="C20" s="92"/>
      <c r="D20" s="92"/>
      <c r="E20" s="91">
        <f>7+1</f>
        <v>8</v>
      </c>
      <c r="F20" s="151"/>
      <c r="G20" s="173"/>
      <c r="H20" s="95">
        <f>SUM(C20:G20)</f>
        <v>8</v>
      </c>
      <c r="I20" s="96" t="s">
        <v>185</v>
      </c>
    </row>
    <row r="21" spans="2:9" ht="13.5" customHeight="1">
      <c r="B21" s="84" t="s">
        <v>77</v>
      </c>
      <c r="C21" s="92">
        <f>5+1.25</f>
        <v>6.25</v>
      </c>
      <c r="D21" s="92">
        <v>3</v>
      </c>
      <c r="E21" s="91"/>
      <c r="F21" s="151"/>
      <c r="G21" s="173">
        <v>0</v>
      </c>
      <c r="H21" s="95">
        <f>SUM(C21:G21)</f>
        <v>9.25</v>
      </c>
      <c r="I21" s="96" t="s">
        <v>182</v>
      </c>
    </row>
    <row r="22" spans="2:9" ht="13.5" customHeight="1">
      <c r="B22" s="84" t="s">
        <v>257</v>
      </c>
      <c r="C22" s="92"/>
      <c r="D22" s="92"/>
      <c r="E22" s="91">
        <f>2+1</f>
        <v>3</v>
      </c>
      <c r="F22" s="151"/>
      <c r="G22" s="173"/>
      <c r="H22" s="95">
        <f>SUM(C22:G22)</f>
        <v>3</v>
      </c>
      <c r="I22" s="96" t="s">
        <v>239</v>
      </c>
    </row>
    <row r="23" spans="2:9" ht="12.75">
      <c r="B23" s="84" t="s">
        <v>134</v>
      </c>
      <c r="C23" s="92">
        <f>0.5+1.25</f>
        <v>1.75</v>
      </c>
      <c r="D23" s="92">
        <v>3.25</v>
      </c>
      <c r="E23" s="91"/>
      <c r="F23" s="151"/>
      <c r="G23" s="173"/>
      <c r="H23" s="95">
        <f>SUM(C23:G23)</f>
        <v>5</v>
      </c>
      <c r="I23" s="96" t="s">
        <v>299</v>
      </c>
    </row>
    <row r="24" spans="2:9" ht="12.75">
      <c r="B24" s="84" t="s">
        <v>93</v>
      </c>
      <c r="C24" s="92"/>
      <c r="D24" s="92" t="s">
        <v>7</v>
      </c>
      <c r="E24" s="91" t="s">
        <v>7</v>
      </c>
      <c r="F24" s="152">
        <v>2</v>
      </c>
      <c r="G24" s="173">
        <v>3</v>
      </c>
      <c r="H24" s="95">
        <f>SUM(C24:G24)</f>
        <v>5</v>
      </c>
      <c r="I24" s="96" t="s">
        <v>299</v>
      </c>
    </row>
    <row r="25" spans="2:9" ht="12.75">
      <c r="B25" s="84" t="s">
        <v>92</v>
      </c>
      <c r="C25" s="92"/>
      <c r="D25" s="92">
        <v>12</v>
      </c>
      <c r="E25" s="91">
        <v>11</v>
      </c>
      <c r="F25" s="152">
        <f>8+1.75+2.25</f>
        <v>12</v>
      </c>
      <c r="G25" s="173">
        <f>2+1.75+1.5</f>
        <v>5.25</v>
      </c>
      <c r="H25" s="95">
        <f>SUM(C25:G25)</f>
        <v>40.25</v>
      </c>
      <c r="I25" s="96" t="s">
        <v>11</v>
      </c>
    </row>
    <row r="26" spans="2:9" ht="12.75">
      <c r="B26" s="84" t="s">
        <v>36</v>
      </c>
      <c r="C26" s="91">
        <f>11+2.75</f>
        <v>13.75</v>
      </c>
      <c r="D26" s="95">
        <v>24.75</v>
      </c>
      <c r="E26" s="119">
        <v>25</v>
      </c>
      <c r="F26" s="153">
        <v>20</v>
      </c>
      <c r="G26" s="173" t="s">
        <v>300</v>
      </c>
      <c r="H26" s="95">
        <f>SUM(C26:G26)</f>
        <v>83.5</v>
      </c>
      <c r="I26" s="86" t="s">
        <v>10</v>
      </c>
    </row>
    <row r="27" spans="1:9" ht="12.75">
      <c r="A27" s="94"/>
      <c r="B27" s="84" t="s">
        <v>125</v>
      </c>
      <c r="C27" s="91">
        <v>20.5</v>
      </c>
      <c r="D27" s="132">
        <v>31</v>
      </c>
      <c r="E27" s="93">
        <v>22</v>
      </c>
      <c r="F27" s="153">
        <v>20</v>
      </c>
      <c r="G27" s="175">
        <v>9</v>
      </c>
      <c r="H27" s="132">
        <f>SUM(C27:G27)</f>
        <v>102.5</v>
      </c>
      <c r="I27" s="133" t="s">
        <v>14</v>
      </c>
    </row>
    <row r="28" spans="2:9" ht="12.75">
      <c r="B28" s="84" t="s">
        <v>120</v>
      </c>
      <c r="C28" s="92">
        <v>1.25</v>
      </c>
      <c r="D28" s="92">
        <v>3.75</v>
      </c>
      <c r="E28" s="91">
        <v>2</v>
      </c>
      <c r="F28" s="151"/>
      <c r="G28" s="173"/>
      <c r="H28" s="95">
        <f>SUM(C28:G28)</f>
        <v>7</v>
      </c>
      <c r="I28" s="96" t="s">
        <v>186</v>
      </c>
    </row>
    <row r="29" spans="2:9" ht="12.75">
      <c r="B29" s="84" t="s">
        <v>51</v>
      </c>
      <c r="C29" s="91">
        <f>9+2.75</f>
        <v>11.75</v>
      </c>
      <c r="D29" s="92">
        <v>12</v>
      </c>
      <c r="E29" s="91">
        <v>2.75</v>
      </c>
      <c r="F29" s="149">
        <f>1+1.5+2.25</f>
        <v>4.75</v>
      </c>
      <c r="G29" s="173"/>
      <c r="H29" s="95">
        <f>SUM(C29:G29)</f>
        <v>31.25</v>
      </c>
      <c r="I29" s="86" t="s">
        <v>9</v>
      </c>
    </row>
    <row r="30" spans="2:9" ht="12.75">
      <c r="B30" s="84" t="s">
        <v>82</v>
      </c>
      <c r="C30" s="92">
        <f>12+2</f>
        <v>14</v>
      </c>
      <c r="D30" s="92">
        <v>12</v>
      </c>
      <c r="E30" s="91">
        <f>4.5+1.5</f>
        <v>6</v>
      </c>
      <c r="F30" s="152">
        <f>4.5+1.5+1.75</f>
        <v>7.75</v>
      </c>
      <c r="G30" s="173">
        <v>1.75</v>
      </c>
      <c r="H30" s="95">
        <f>SUM(C30:G30)</f>
        <v>41.5</v>
      </c>
      <c r="I30" s="96" t="s">
        <v>12</v>
      </c>
    </row>
    <row r="31" spans="2:9" ht="12.75">
      <c r="B31" s="84" t="s">
        <v>88</v>
      </c>
      <c r="C31" s="92">
        <f>10+2</f>
        <v>12</v>
      </c>
      <c r="D31" s="92">
        <v>8</v>
      </c>
      <c r="E31" s="91"/>
      <c r="F31" s="152">
        <v>1.5</v>
      </c>
      <c r="G31" s="173">
        <v>0.75</v>
      </c>
      <c r="H31" s="95">
        <f>SUM(C31:G31)</f>
        <v>22.25</v>
      </c>
      <c r="I31" s="96" t="s">
        <v>6</v>
      </c>
    </row>
    <row r="32" spans="2:9" ht="12.75">
      <c r="B32" s="84" t="s">
        <v>91</v>
      </c>
      <c r="C32" s="91">
        <f>5+2+2.75</f>
        <v>9.75</v>
      </c>
      <c r="D32" s="92">
        <v>3</v>
      </c>
      <c r="E32" s="91">
        <v>2.75</v>
      </c>
      <c r="F32" s="149">
        <f>1.5+2.25</f>
        <v>3.75</v>
      </c>
      <c r="G32" s="173">
        <f>1.75+1.5</f>
        <v>3.25</v>
      </c>
      <c r="H32" s="95">
        <f>SUM(C32:G32)</f>
        <v>22.5</v>
      </c>
      <c r="I32" s="86" t="s">
        <v>113</v>
      </c>
    </row>
    <row r="33" spans="2:9" ht="12.75">
      <c r="B33" s="84" t="s">
        <v>74</v>
      </c>
      <c r="C33" s="95">
        <f>19+2</f>
        <v>21</v>
      </c>
      <c r="D33" s="95"/>
      <c r="E33" s="93">
        <v>22</v>
      </c>
      <c r="F33" s="152">
        <v>8</v>
      </c>
      <c r="G33" s="174">
        <f>4+0.75</f>
        <v>4.75</v>
      </c>
      <c r="H33" s="95">
        <f>SUM(C33:G33)</f>
        <v>55.75</v>
      </c>
      <c r="I33" s="96" t="s">
        <v>20</v>
      </c>
    </row>
    <row r="34" spans="1:9" ht="12.75">
      <c r="A34" s="94"/>
      <c r="B34" s="84" t="s">
        <v>129</v>
      </c>
      <c r="C34" s="91">
        <v>1.5</v>
      </c>
      <c r="D34" s="92"/>
      <c r="E34" s="91">
        <f>1+1.5</f>
        <v>2.5</v>
      </c>
      <c r="F34" s="149">
        <v>1.75</v>
      </c>
      <c r="G34" s="173">
        <v>0.75</v>
      </c>
      <c r="H34" s="95">
        <f>SUM(C34:G34)</f>
        <v>6.5</v>
      </c>
      <c r="I34" s="86" t="s">
        <v>243</v>
      </c>
    </row>
    <row r="35" spans="2:9" ht="12.75">
      <c r="B35" s="84" t="s">
        <v>76</v>
      </c>
      <c r="C35" s="92">
        <v>1.5</v>
      </c>
      <c r="D35" s="92">
        <v>6</v>
      </c>
      <c r="E35" s="91">
        <f>8+1.5</f>
        <v>9.5</v>
      </c>
      <c r="F35" s="152">
        <f>3+1.75</f>
        <v>4.75</v>
      </c>
      <c r="G35" s="173">
        <v>0</v>
      </c>
      <c r="H35" s="95">
        <f>SUM(C35:G35)</f>
        <v>21.75</v>
      </c>
      <c r="I35" s="96" t="s">
        <v>99</v>
      </c>
    </row>
    <row r="36" spans="2:8" ht="13.5" customHeight="1">
      <c r="B36" s="97" t="s">
        <v>16</v>
      </c>
      <c r="C36" s="98">
        <f>SUM(C3:C35)</f>
        <v>231.5</v>
      </c>
      <c r="D36" s="98">
        <f>SUM(D3:D35)</f>
        <v>249</v>
      </c>
      <c r="E36" s="98">
        <f>SUM(E3:E35)</f>
        <v>189.5</v>
      </c>
      <c r="F36" s="98">
        <f>SUM(F3:F35)</f>
        <v>171.5</v>
      </c>
      <c r="G36" s="98">
        <f>SUM(G3:G35)</f>
        <v>83</v>
      </c>
      <c r="H36" s="99">
        <f>SUM(C36:G36)</f>
        <v>924.5</v>
      </c>
    </row>
    <row r="37" spans="2:8" ht="10.5" customHeight="1">
      <c r="B37" s="97"/>
      <c r="C37" s="110" t="s">
        <v>121</v>
      </c>
      <c r="D37" s="141" t="s">
        <v>121</v>
      </c>
      <c r="E37" s="142" t="s">
        <v>121</v>
      </c>
      <c r="F37" s="100"/>
      <c r="G37" s="98"/>
      <c r="H37" s="101"/>
    </row>
    <row r="38" ht="12" customHeight="1">
      <c r="A38" s="85" t="s">
        <v>298</v>
      </c>
    </row>
    <row r="39" ht="12.75" hidden="1"/>
  </sheetData>
  <sheetProtection selectLockedCells="1" selectUnlockedCells="1"/>
  <printOptions gridLines="1" horizontalCentered="1" verticalCentered="1"/>
  <pageMargins left="0.7874015748031497" right="0.7874015748031497" top="0.5905511811023623" bottom="0.5905511811023623" header="0.31496062992125984" footer="0.31496062992125984"/>
  <pageSetup orientation="landscape" paperSize="9" scale="90" r:id="rId1"/>
  <headerFooter alignWithMargins="0">
    <oddHeader>&amp;LTJ Sokol Hradec Králové, atletický oddíl&amp;C&amp;"Arial Narrow,Tučné"Přehled bodujících závodnic v sezóně 2020&amp;R&amp;"Arial Narrow,Tučné"Starší žákyně</oddHeader>
    <oddFooter>&amp;LHradec Králové, &amp;D (tisk)&amp;CList &amp;F (&amp;A)&amp;RSestavil ing. Pavel Rytíř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rytir</dc:creator>
  <cp:keywords/>
  <dc:description/>
  <cp:lastModifiedBy>Pavel</cp:lastModifiedBy>
  <cp:lastPrinted>2020-09-14T12:09:51Z</cp:lastPrinted>
  <dcterms:created xsi:type="dcterms:W3CDTF">2016-05-07T15:12:31Z</dcterms:created>
  <dcterms:modified xsi:type="dcterms:W3CDTF">2020-10-04T19:54:41Z</dcterms:modified>
  <cp:category/>
  <cp:version/>
  <cp:contentType/>
  <cp:contentStatus/>
</cp:coreProperties>
</file>